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rakenstein-my.sharepoint.com/personal/iane_drakenstein_gov_za/Documents/Documents/1_2025_26/CFO/"/>
    </mc:Choice>
  </mc:AlternateContent>
  <xr:revisionPtr revIDLastSave="499" documentId="8_{C17A8D86-95DA-46D5-92EF-9B25E0F8D85D}" xr6:coauthVersionLast="47" xr6:coauthVersionMax="47" xr10:uidLastSave="{2E0B57B4-C5BB-457E-B115-3D917AF6D8A5}"/>
  <workbookProtection workbookAlgorithmName="SHA-512" workbookHashValue="As+TAXZaW5XbCSXtMyA/kQaosmqFaLSAJRQNoaiBi9b0c9TFZsjCKHj/MHOThpAKK5n/KLG6u6PfHswIVJvTKQ==" workbookSaltValue="qiuy6Ifg/UfbsezURuKj6A==" workbookSpinCount="100000" lockStructure="1"/>
  <bookViews>
    <workbookView xWindow="-108" yWindow="-108" windowWidth="23256" windowHeight="12456" xr2:uid="{6E9AC809-ADB9-4962-A75E-E73E378FA3C3}"/>
  </bookViews>
  <sheets>
    <sheet name="Calculator" sheetId="1" r:id="rId1"/>
    <sheet name="Sheet2" sheetId="2" state="hidden" r:id="rId2"/>
    <sheet name="Sheet3" sheetId="3" state="hidden" r:id="rId3"/>
  </sheets>
  <definedNames>
    <definedName name="_xlnm.Print_Area" localSheetId="0">Calculator!$A$47:$J$78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3" l="1"/>
  <c r="F65" i="1"/>
  <c r="F63" i="1"/>
  <c r="C39" i="2"/>
  <c r="B35" i="2"/>
  <c r="C35" i="2"/>
  <c r="B25" i="2"/>
  <c r="B42" i="2" s="1"/>
  <c r="B69" i="1"/>
  <c r="B38" i="2" l="1"/>
  <c r="B41" i="2" l="1"/>
  <c r="G51" i="1" s="1"/>
  <c r="F75" i="1" s="1"/>
  <c r="B40" i="2"/>
  <c r="D428" i="3"/>
  <c r="D278" i="3"/>
  <c r="D208" i="3"/>
  <c r="D193" i="3"/>
  <c r="C50" i="3" l="1"/>
  <c r="C49" i="3"/>
  <c r="C38" i="3"/>
  <c r="B27" i="2"/>
  <c r="F27" i="2" s="1"/>
  <c r="D75" i="1"/>
  <c r="G33" i="2"/>
  <c r="I53" i="1"/>
  <c r="I55" i="1"/>
  <c r="I56" i="1"/>
  <c r="G56" i="1"/>
  <c r="G55" i="1"/>
  <c r="G53" i="1"/>
  <c r="G52" i="1"/>
  <c r="C33" i="2"/>
  <c r="I68" i="1" s="1"/>
  <c r="B33" i="2"/>
  <c r="G68" i="1" s="1"/>
  <c r="C26" i="2"/>
  <c r="B26" i="2"/>
  <c r="C25" i="2"/>
  <c r="C29" i="2"/>
  <c r="G29" i="2" s="1"/>
  <c r="B29" i="2"/>
  <c r="F29" i="2" s="1"/>
  <c r="F33" i="2" l="1"/>
  <c r="I67" i="1" s="1"/>
  <c r="I69" i="1" s="1"/>
  <c r="D66" i="1"/>
  <c r="G26" i="2"/>
  <c r="F26" i="2"/>
  <c r="I51" i="1"/>
  <c r="G75" i="1" s="1"/>
  <c r="G67" i="1"/>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B21" i="2"/>
  <c r="C21" i="2"/>
  <c r="F50" i="3"/>
  <c r="E208" i="3"/>
  <c r="G50" i="3"/>
  <c r="C60" i="3"/>
  <c r="C61" i="3" s="1"/>
  <c r="C62" i="3" s="1"/>
  <c r="C63" i="3" s="1"/>
  <c r="C64" i="3" s="1"/>
  <c r="C65" i="3" s="1"/>
  <c r="C66" i="3" s="1"/>
  <c r="C67" i="3" s="1"/>
  <c r="C68" i="3" s="1"/>
  <c r="C69" i="3" s="1"/>
  <c r="C12" i="3"/>
  <c r="C11" i="3"/>
  <c r="C10" i="3"/>
  <c r="C9" i="3"/>
  <c r="C8" i="3"/>
  <c r="C7" i="3"/>
  <c r="C6" i="3"/>
  <c r="C27" i="2" s="1"/>
  <c r="G27" i="2" s="1"/>
  <c r="D65" i="1"/>
  <c r="C21" i="3"/>
  <c r="B20" i="2"/>
  <c r="B19" i="1"/>
  <c r="B28" i="2"/>
  <c r="I57" i="1" l="1"/>
  <c r="G57" i="1"/>
  <c r="H67" i="1"/>
  <c r="G59" i="1"/>
  <c r="F28" i="2"/>
  <c r="F30" i="2"/>
  <c r="F74" i="1"/>
  <c r="G58" i="1" s="1"/>
  <c r="I59" i="1"/>
  <c r="D74" i="1"/>
  <c r="D77" i="1" s="1"/>
  <c r="C70" i="3"/>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2" i="3" s="1"/>
  <c r="C183" i="3" s="1"/>
  <c r="C184" i="3" s="1"/>
  <c r="G184" i="3" s="1"/>
  <c r="I52" i="1"/>
  <c r="H52" i="1" s="1"/>
  <c r="G54" i="1"/>
  <c r="G69" i="1"/>
  <c r="H53" i="1"/>
  <c r="H56" i="1"/>
  <c r="C20" i="2"/>
  <c r="I54" i="1" s="1"/>
  <c r="C28" i="2"/>
  <c r="G28" i="2" s="1"/>
  <c r="D60" i="1"/>
  <c r="D59" i="1"/>
  <c r="D62" i="1"/>
  <c r="D64" i="1"/>
  <c r="D58" i="1"/>
  <c r="D57" i="1"/>
  <c r="D56" i="1"/>
  <c r="D54" i="1"/>
  <c r="D53" i="1"/>
  <c r="D52" i="1"/>
  <c r="D51" i="1"/>
  <c r="H57" i="1" l="1"/>
  <c r="G30" i="2"/>
  <c r="G74" i="1"/>
  <c r="I58" i="1" s="1"/>
  <c r="C185" i="3"/>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F184" i="3"/>
  <c r="E135" i="3"/>
  <c r="H55" i="1"/>
  <c r="H51" i="1"/>
  <c r="G60" i="1" l="1"/>
  <c r="E136" i="3"/>
  <c r="H54" i="1"/>
  <c r="E137" i="3" l="1"/>
  <c r="I60" i="1"/>
  <c r="E138" i="3" l="1"/>
  <c r="D71" i="1"/>
  <c r="D69" i="1"/>
  <c r="C208" i="3"/>
  <c r="F208" i="3" s="1"/>
  <c r="E139" i="3" l="1"/>
  <c r="C209" i="3"/>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E140" i="3" l="1"/>
  <c r="C279" i="3"/>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E141" i="3" l="1"/>
  <c r="C429" i="3"/>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C502" i="3" s="1"/>
  <c r="C503" i="3" s="1"/>
  <c r="E142" i="3" l="1"/>
  <c r="E143" i="3" l="1"/>
  <c r="E144" i="3" l="1"/>
  <c r="E145" i="3" l="1"/>
  <c r="E146" i="3" l="1"/>
  <c r="E147" i="3" l="1"/>
  <c r="E148" i="3" l="1"/>
  <c r="E149" i="3" l="1"/>
  <c r="E150" i="3" l="1"/>
  <c r="E151" i="3" l="1"/>
  <c r="E152" i="3" l="1"/>
  <c r="E153" i="3" l="1"/>
  <c r="E154" i="3" l="1"/>
  <c r="E155" i="3" l="1"/>
  <c r="E156" i="3" l="1"/>
  <c r="E157" i="3" l="1"/>
  <c r="E158" i="3" l="1"/>
  <c r="E159" i="3" l="1"/>
  <c r="E160" i="3" l="1"/>
  <c r="E161" i="3" l="1"/>
  <c r="E162" i="3" l="1"/>
  <c r="E163" i="3" l="1"/>
  <c r="E164" i="3" l="1"/>
  <c r="E165" i="3" l="1"/>
  <c r="E166" i="3" l="1"/>
  <c r="E167" i="3" l="1"/>
  <c r="E168" i="3" l="1"/>
  <c r="E169" i="3" l="1"/>
  <c r="E170" i="3" l="1"/>
  <c r="E171" i="3" l="1"/>
  <c r="E172" i="3" l="1"/>
  <c r="E173" i="3" l="1"/>
  <c r="E174" i="3" l="1"/>
  <c r="E175" i="3" l="1"/>
  <c r="E176" i="3" l="1"/>
  <c r="E177" i="3" l="1"/>
  <c r="E179" i="3" l="1"/>
  <c r="E178" i="3"/>
</calcChain>
</file>

<file path=xl/sharedStrings.xml><?xml version="1.0" encoding="utf-8"?>
<sst xmlns="http://schemas.openxmlformats.org/spreadsheetml/2006/main" count="197" uniqueCount="146">
  <si>
    <t>Property Value</t>
  </si>
  <si>
    <t>Yes</t>
  </si>
  <si>
    <t>No</t>
  </si>
  <si>
    <t>Water and Sanitation</t>
  </si>
  <si>
    <t>*What is your water tariff?</t>
  </si>
  <si>
    <t>Electricity</t>
  </si>
  <si>
    <t>*What is your electricity supply amperage?</t>
  </si>
  <si>
    <t>Refuse</t>
  </si>
  <si>
    <t>Summary</t>
  </si>
  <si>
    <t>Property rates</t>
  </si>
  <si>
    <t>Water meter size</t>
  </si>
  <si>
    <t>15 mm</t>
  </si>
  <si>
    <t>Monthly water consumption</t>
  </si>
  <si>
    <t>Electricity consumption</t>
  </si>
  <si>
    <t>Refuse bins</t>
  </si>
  <si>
    <t>Services</t>
  </si>
  <si>
    <t>Water consumption</t>
  </si>
  <si>
    <t>Sewerage</t>
  </si>
  <si>
    <t xml:space="preserve">*What is your water meter size? </t>
  </si>
  <si>
    <t>*How many wheelie bins do you have?</t>
  </si>
  <si>
    <t>Less: Indigent benefit</t>
  </si>
  <si>
    <t>Water basic charge</t>
  </si>
  <si>
    <t>*What is the extent of your erf?</t>
  </si>
  <si>
    <t>*How many toilets do you have in your dwelling?</t>
  </si>
  <si>
    <t>Pensioner</t>
  </si>
  <si>
    <t>R</t>
  </si>
  <si>
    <t>Electricity basic charge</t>
  </si>
  <si>
    <t>m²</t>
  </si>
  <si>
    <t>Estimated monthly bill</t>
  </si>
  <si>
    <t>Bins</t>
  </si>
  <si>
    <t>*Do you receive an indigent subsidy?</t>
  </si>
  <si>
    <t>Domestic 1 phase 30 Amp</t>
  </si>
  <si>
    <t>Domestic 1 phase 40 Amp</t>
  </si>
  <si>
    <t>Domestic 1 phase 50 Amp</t>
  </si>
  <si>
    <t>Domestic 1 phase 80 Amp</t>
  </si>
  <si>
    <t>Domestic 1 phase 60 Amp</t>
  </si>
  <si>
    <t>Domestic 1 phase 70 Amp</t>
  </si>
  <si>
    <t>Domestic 1 phase 90 Amp</t>
  </si>
  <si>
    <t>Domestic 3 phase 20 Amp</t>
  </si>
  <si>
    <t>Domestic 3 phase 30 Amp</t>
  </si>
  <si>
    <t>Domestic 3 phase 40 Amp</t>
  </si>
  <si>
    <t>Domestic 3 phase 50 Amp</t>
  </si>
  <si>
    <t>Domestic 3 phase 60 Amp</t>
  </si>
  <si>
    <t>Domestic 3 phase 70 Amp</t>
  </si>
  <si>
    <t>Domestic 3 phase 80 Amp</t>
  </si>
  <si>
    <t>Domestic 3 phase 100 Amp</t>
  </si>
  <si>
    <t>Domestic 3 phase 150 Amp</t>
  </si>
  <si>
    <t>20 mm</t>
  </si>
  <si>
    <t>25 mm</t>
  </si>
  <si>
    <t>75/80 mm</t>
  </si>
  <si>
    <t>100 mm</t>
  </si>
  <si>
    <t>150 mm and larger</t>
  </si>
  <si>
    <t>Domestic - Sliding Scale</t>
  </si>
  <si>
    <t>Domestic - Flat tariff</t>
  </si>
  <si>
    <t>Toilets</t>
  </si>
  <si>
    <t>2025/26</t>
  </si>
  <si>
    <t>Water</t>
  </si>
  <si>
    <t>First toilet</t>
  </si>
  <si>
    <t>additional toilet</t>
  </si>
  <si>
    <t>(One removal per week)</t>
  </si>
  <si>
    <t>Water Basic</t>
  </si>
  <si>
    <t>Electricity Basic</t>
  </si>
  <si>
    <t>Electricity Consumption</t>
  </si>
  <si>
    <t>Lifeline</t>
  </si>
  <si>
    <t>1 Phase</t>
  </si>
  <si>
    <t>3 Phase</t>
  </si>
  <si>
    <t>Water Consumption</t>
  </si>
  <si>
    <t>Flat Rate</t>
  </si>
  <si>
    <t>Saron</t>
  </si>
  <si>
    <t>FREE ALLOCATIONS</t>
  </si>
  <si>
    <t>Sliding Scale</t>
  </si>
  <si>
    <t>KL</t>
  </si>
  <si>
    <t>Drakenstein</t>
  </si>
  <si>
    <t>Lifeline 0-400</t>
  </si>
  <si>
    <t>Lifeline 400+</t>
  </si>
  <si>
    <t>40/50 mm</t>
  </si>
  <si>
    <t>Property value (Current)</t>
  </si>
  <si>
    <t>Property value (New)</t>
  </si>
  <si>
    <t>Indigent subsidy</t>
  </si>
  <si>
    <t>Water tariff</t>
  </si>
  <si>
    <t>Electricity meter supply / phase</t>
  </si>
  <si>
    <t>Property extent</t>
  </si>
  <si>
    <t>30 Amp</t>
  </si>
  <si>
    <t>40 Amp</t>
  </si>
  <si>
    <t>50 Amp</t>
  </si>
  <si>
    <t>80 Amp</t>
  </si>
  <si>
    <t>60 Amp</t>
  </si>
  <si>
    <t>70 Amp</t>
  </si>
  <si>
    <t>90 Amp</t>
  </si>
  <si>
    <t>20 Amp</t>
  </si>
  <si>
    <t>100 Amp</t>
  </si>
  <si>
    <t>150 Amp</t>
  </si>
  <si>
    <t>Electricity phase</t>
  </si>
  <si>
    <t>*What is your electricity supply phase</t>
  </si>
  <si>
    <t>Sewerage extent</t>
  </si>
  <si>
    <t>Sewerage Extent</t>
  </si>
  <si>
    <t>Sewerage calc</t>
  </si>
  <si>
    <t>Indigent calc</t>
  </si>
  <si>
    <t>Rates</t>
  </si>
  <si>
    <t>Elec</t>
  </si>
  <si>
    <t>or</t>
  </si>
  <si>
    <r>
      <rPr>
        <b/>
        <i/>
        <sz val="8"/>
        <color theme="1"/>
        <rFont val="Calibri"/>
        <family val="2"/>
      </rPr>
      <t>Disclaimer</t>
    </r>
    <r>
      <rPr>
        <i/>
        <sz val="8"/>
        <color theme="1"/>
        <rFont val="Calibri"/>
        <family val="2"/>
      </rPr>
      <t xml:space="preserve"> - This calculator is for </t>
    </r>
    <r>
      <rPr>
        <b/>
        <i/>
        <sz val="8"/>
        <color theme="1"/>
        <rFont val="Calibri"/>
        <family val="2"/>
      </rPr>
      <t>residential</t>
    </r>
    <r>
      <rPr>
        <i/>
        <sz val="8"/>
        <color theme="1"/>
        <rFont val="Calibri"/>
        <family val="2"/>
      </rPr>
      <t xml:space="preserve"> properties only. The calculator provides an estimate of your municipal rates and tariffs based on the information provided and is intended for informational purposes only and is not legally binding. The electricity tariffs is for municipal supplied areas only. The calculator is based on a monthly average only. Please consult your municipal bill for actual costs that may be due. Indigent residents do not automatically qualify for rebates and need to apply for indigent benefits and rates relief if qualifying criteria is met.</t>
    </r>
  </si>
  <si>
    <t>Electricity meter amperage</t>
  </si>
  <si>
    <t>units (kWh)</t>
  </si>
  <si>
    <t>*How many units of water do you use?</t>
  </si>
  <si>
    <t>*How many units of electricity do you use?</t>
  </si>
  <si>
    <t>units (kl)</t>
  </si>
  <si>
    <r>
      <rPr>
        <b/>
        <sz val="12"/>
        <color theme="0"/>
        <rFont val="Calibri"/>
        <family val="2"/>
      </rPr>
      <t xml:space="preserve">% </t>
    </r>
    <r>
      <rPr>
        <sz val="11"/>
        <color theme="0"/>
        <rFont val="Calibri"/>
        <family val="2"/>
      </rPr>
      <t xml:space="preserve">
</t>
    </r>
    <r>
      <rPr>
        <sz val="11"/>
        <color theme="0"/>
        <rFont val="Wingdings"/>
        <charset val="2"/>
      </rPr>
      <t>éê</t>
    </r>
  </si>
  <si>
    <t>*Are you a property owner over the age of 60?</t>
  </si>
  <si>
    <t>Less: Retired persons rates discount (*)</t>
  </si>
  <si>
    <t xml:space="preserve">    ffff</t>
  </si>
  <si>
    <t>*Do you have a prepaid meter?</t>
  </si>
  <si>
    <t>Prepaid Electricity</t>
  </si>
  <si>
    <t>Prepaid elec</t>
  </si>
  <si>
    <t>Less: Indigent Free units</t>
  </si>
  <si>
    <r>
      <t xml:space="preserve">HELPFUL TIP: </t>
    </r>
    <r>
      <rPr>
        <i/>
        <sz val="9"/>
        <color theme="6"/>
        <rFont val="Calibri"/>
        <family val="2"/>
      </rPr>
      <t>Refer to your municipal account or prepaid purchases slips for the number of units you use a month</t>
    </r>
  </si>
  <si>
    <r>
      <t xml:space="preserve">HELPFUL TIP: </t>
    </r>
    <r>
      <rPr>
        <i/>
        <sz val="9"/>
        <color theme="6"/>
        <rFont val="Calibri"/>
        <family val="2"/>
      </rPr>
      <t>Most residential properties only have one (1) wheelie bin that is removed weekly</t>
    </r>
  </si>
  <si>
    <r>
      <t xml:space="preserve">HELPFUL TIP: </t>
    </r>
    <r>
      <rPr>
        <i/>
        <sz val="9"/>
        <color theme="6"/>
        <rFont val="Calibri"/>
        <family val="2"/>
      </rPr>
      <t>Most residential properties have a single phase connection. Only customers on a basic 20Amp connection is on the lifeline "phase"</t>
    </r>
  </si>
  <si>
    <r>
      <t xml:space="preserve">HELPFUL TIP: </t>
    </r>
    <r>
      <rPr>
        <i/>
        <sz val="9"/>
        <color theme="6"/>
        <rFont val="Calibri"/>
        <family val="2"/>
      </rPr>
      <t>Most small erven are smaller than 550m²</t>
    </r>
    <r>
      <rPr>
        <b/>
        <i/>
        <sz val="9"/>
        <color theme="6"/>
        <rFont val="Calibri"/>
        <family val="2"/>
      </rPr>
      <t xml:space="preserve">. </t>
    </r>
    <r>
      <rPr>
        <i/>
        <sz val="9"/>
        <color theme="6"/>
        <rFont val="Calibri"/>
        <family val="2"/>
      </rPr>
      <t>You will be able to get the size of your erf from the valuation roll</t>
    </r>
  </si>
  <si>
    <r>
      <t xml:space="preserve">HELPFUL TIP: </t>
    </r>
    <r>
      <rPr>
        <i/>
        <sz val="9"/>
        <color theme="6"/>
        <rFont val="Calibri"/>
        <family val="2"/>
      </rPr>
      <t>Normal residential properties are on the "Domestic - Sliding Scale" water tariff, where as properties in gated estates and flats are on the "Domestic - Flat tariff"</t>
    </r>
  </si>
  <si>
    <r>
      <t xml:space="preserve">HELPFUL TIP: </t>
    </r>
    <r>
      <rPr>
        <i/>
        <sz val="9"/>
        <color theme="6"/>
        <rFont val="Calibri"/>
        <family val="2"/>
      </rPr>
      <t>Normal residential properties have a 15mm or 20mm meter size</t>
    </r>
  </si>
  <si>
    <t>Total Monthly Bill (Incl VAT)</t>
  </si>
  <si>
    <t>(Rand)</t>
  </si>
  <si>
    <t>Total (Incl VAT)</t>
  </si>
  <si>
    <t>July 2025 - June 2026 (VAT Incl)</t>
  </si>
  <si>
    <t>July 2024 -June 2025 (VAT Incl)</t>
  </si>
  <si>
    <r>
      <t xml:space="preserve">With capping you are paying </t>
    </r>
    <r>
      <rPr>
        <i/>
        <sz val="12"/>
        <color theme="0"/>
        <rFont val="Calibri"/>
        <family val="2"/>
      </rPr>
      <t>(per month)</t>
    </r>
  </si>
  <si>
    <r>
      <t xml:space="preserve">units (kWh)  </t>
    </r>
    <r>
      <rPr>
        <b/>
        <i/>
        <u/>
        <sz val="14"/>
        <color theme="5"/>
        <rFont val="Calibri"/>
        <family val="2"/>
      </rPr>
      <t>OR</t>
    </r>
    <r>
      <rPr>
        <b/>
        <i/>
        <sz val="16"/>
        <color theme="5"/>
        <rFont val="Calibri"/>
        <family val="2"/>
      </rPr>
      <t xml:space="preserve"> </t>
    </r>
  </si>
  <si>
    <t>Savings from the capping of rates</t>
  </si>
  <si>
    <r>
      <rPr>
        <u/>
        <sz val="12"/>
        <color theme="0"/>
        <rFont val="Calibri"/>
        <family val="2"/>
      </rPr>
      <t>Without</t>
    </r>
    <r>
      <rPr>
        <sz val="12"/>
        <color theme="0"/>
        <rFont val="Calibri"/>
        <family val="2"/>
      </rPr>
      <t xml:space="preserve"> capping you would be paying </t>
    </r>
    <r>
      <rPr>
        <i/>
        <sz val="12"/>
        <color theme="0"/>
        <rFont val="Calibri"/>
        <family val="2"/>
      </rPr>
      <t>(per month)</t>
    </r>
  </si>
  <si>
    <r>
      <t xml:space="preserve">You save </t>
    </r>
    <r>
      <rPr>
        <b/>
        <i/>
        <sz val="14"/>
        <color theme="0"/>
        <rFont val="Calibri"/>
        <family val="2"/>
      </rPr>
      <t>(per month)</t>
    </r>
  </si>
  <si>
    <t>July 2025 -June 2026 (Incl VAT)</t>
  </si>
  <si>
    <t>July 2026 - June 2027 (Incl VAT)</t>
  </si>
  <si>
    <t>2026/27</t>
  </si>
  <si>
    <r>
      <rPr>
        <b/>
        <i/>
        <u/>
        <sz val="14"/>
        <color theme="5"/>
        <rFont val="Calibri"/>
        <family val="2"/>
      </rPr>
      <t>OR</t>
    </r>
    <r>
      <rPr>
        <b/>
        <i/>
        <sz val="16"/>
        <color theme="5"/>
        <rFont val="Calibri"/>
        <family val="2"/>
      </rPr>
      <t xml:space="preserve"> </t>
    </r>
  </si>
  <si>
    <r>
      <t xml:space="preserve">*What is your </t>
    </r>
    <r>
      <rPr>
        <u/>
        <sz val="11"/>
        <color theme="1"/>
        <rFont val="Calibri"/>
        <family val="2"/>
      </rPr>
      <t>previous</t>
    </r>
    <r>
      <rPr>
        <sz val="11"/>
        <color theme="1"/>
        <rFont val="Calibri"/>
        <family val="2"/>
      </rPr>
      <t xml:space="preserve"> (2024/25) property valuation?</t>
    </r>
  </si>
  <si>
    <r>
      <t xml:space="preserve">HELPFUL TIP: </t>
    </r>
    <r>
      <rPr>
        <i/>
        <sz val="9"/>
        <color theme="6"/>
        <rFont val="Calibri"/>
        <family val="2"/>
      </rPr>
      <t>Refer to your current account to determine what your current valuation is &amp; the monthly amount you currently pay for rates</t>
    </r>
  </si>
  <si>
    <t>Current property rates</t>
  </si>
  <si>
    <t>Property rates before pens discount</t>
  </si>
  <si>
    <r>
      <t>HELPFUL TIP: P</t>
    </r>
    <r>
      <rPr>
        <i/>
        <sz val="9"/>
        <color theme="6"/>
        <rFont val="Calibri"/>
        <family val="2"/>
      </rPr>
      <t>ensioners, can also qualify for an additional 10% rebate if they: 
(i) Occupy the property as his/her normal residence.   
(ii) Is at least 60 years of age 
(iii) Is in receipt of a monthly pension. 
(iv) Has a household income of less than R35,000 /month</t>
    </r>
  </si>
  <si>
    <t>Are you over the age of 60 and qualify in terms of sec 11.2.2 of the Property Rates Policy?</t>
  </si>
  <si>
    <t>Property rates before indigent</t>
  </si>
  <si>
    <t>Elec Units</t>
  </si>
  <si>
    <r>
      <t xml:space="preserve">*What is your </t>
    </r>
    <r>
      <rPr>
        <u/>
        <sz val="11"/>
        <color theme="1"/>
        <rFont val="Calibri"/>
        <family val="2"/>
      </rPr>
      <t xml:space="preserve">current monthly </t>
    </r>
    <r>
      <rPr>
        <sz val="11"/>
        <color theme="1"/>
        <rFont val="Calibri"/>
        <family val="2"/>
      </rPr>
      <t>property rates?</t>
    </r>
  </si>
  <si>
    <r>
      <t xml:space="preserve">*What is your </t>
    </r>
    <r>
      <rPr>
        <u/>
        <sz val="11"/>
        <color theme="1"/>
        <rFont val="Calibri"/>
        <family val="2"/>
      </rPr>
      <t>current</t>
    </r>
    <r>
      <rPr>
        <sz val="11"/>
        <color theme="1"/>
        <rFont val="Calibri"/>
        <family val="2"/>
      </rPr>
      <t xml:space="preserve"> property </t>
    </r>
    <r>
      <rPr>
        <u/>
        <sz val="11"/>
        <color theme="1"/>
        <rFont val="Calibri"/>
        <family val="2"/>
      </rPr>
      <t>valuation</t>
    </r>
    <r>
      <rPr>
        <sz val="11"/>
        <color theme="1"/>
        <rFont val="Calibri"/>
        <family val="2"/>
      </rPr>
      <t>?</t>
    </r>
  </si>
  <si>
    <t>Rates and Tariff Calculator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</si>
</sst>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R-1C09]#,##0.00"/>
    <numFmt numFmtId="165" formatCode="_(* #,##0_);_(* \(#,##0\);_(* &quot;-&quot;??_);_(@_)"/>
    <numFmt numFmtId="166" formatCode="_ * #,##0.00_ ;_ * \-#,##0.00_ ;_ * &quot;-&quot;??_ ;_ @_ "/>
    <numFmt numFmtId="167" formatCode="[$R-1C09]#,##0"/>
    <numFmt numFmtId="168" formatCode="0.0%"/>
    <numFmt numFmtId="179" formatCode="[$R-1C09]#,##0.000000"/>
  </numFmts>
  <fonts count="4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Calibri"/>
      <family val="2"/>
    </font>
    <font>
      <sz val="28"/>
      <color theme="1"/>
      <name val="Calibri"/>
      <family val="2"/>
    </font>
    <font>
      <sz val="28"/>
      <color theme="0"/>
      <name val="Calibri"/>
      <family val="2"/>
    </font>
    <font>
      <sz val="12"/>
      <color theme="1"/>
      <name val="Calibri"/>
      <family val="2"/>
    </font>
    <font>
      <sz val="8"/>
      <color theme="1"/>
      <name val="Calibri"/>
      <family val="2"/>
    </font>
    <font>
      <i/>
      <sz val="8"/>
      <color theme="1"/>
      <name val="Calibri"/>
      <family val="2"/>
    </font>
    <font>
      <b/>
      <sz val="12"/>
      <color theme="1"/>
      <name val="Calibri"/>
      <family val="2"/>
    </font>
    <font>
      <b/>
      <sz val="14"/>
      <color theme="1"/>
      <name val="Calibri"/>
      <family val="2"/>
    </font>
    <font>
      <b/>
      <sz val="11"/>
      <color theme="1"/>
      <name val="Calibri"/>
      <family val="2"/>
    </font>
    <font>
      <b/>
      <i/>
      <sz val="8"/>
      <color theme="1"/>
      <name val="Calibri"/>
      <family val="2"/>
    </font>
    <font>
      <b/>
      <sz val="28"/>
      <color theme="0"/>
      <name val="Calibri"/>
      <family val="2"/>
    </font>
    <font>
      <b/>
      <sz val="11"/>
      <color theme="0"/>
      <name val="Calibri"/>
      <family val="2"/>
    </font>
    <font>
      <b/>
      <sz val="26"/>
      <color theme="0"/>
      <name val="Calibri"/>
      <family val="2"/>
    </font>
    <font>
      <u/>
      <sz val="11"/>
      <color theme="1"/>
      <name val="Calibri"/>
      <family val="2"/>
    </font>
    <font>
      <i/>
      <sz val="10"/>
      <color theme="1"/>
      <name val="Calibri"/>
      <family val="2"/>
    </font>
    <font>
      <sz val="10"/>
      <color theme="1"/>
      <name val="Calibri"/>
      <family val="2"/>
    </font>
    <font>
      <sz val="9"/>
      <color theme="1"/>
      <name val="Calibri"/>
      <family val="2"/>
    </font>
    <font>
      <b/>
      <sz val="12"/>
      <color theme="0"/>
      <name val="Calibri"/>
      <family val="2"/>
    </font>
    <font>
      <sz val="11"/>
      <color theme="0"/>
      <name val="Calibri"/>
      <family val="2"/>
    </font>
    <font>
      <sz val="11"/>
      <color theme="0"/>
      <name val="Wingdings"/>
      <charset val="2"/>
    </font>
    <font>
      <i/>
      <sz val="9"/>
      <color theme="1"/>
      <name val="Calibri"/>
      <family val="2"/>
    </font>
    <font>
      <i/>
      <sz val="12"/>
      <color theme="1"/>
      <name val="Calibri"/>
      <family val="2"/>
    </font>
    <font>
      <i/>
      <sz val="11"/>
      <color theme="1"/>
      <name val="Calibri"/>
      <family val="2"/>
    </font>
    <font>
      <i/>
      <sz val="28"/>
      <color theme="1"/>
      <name val="Calibri"/>
      <family val="2"/>
    </font>
    <font>
      <b/>
      <i/>
      <sz val="9"/>
      <color theme="4"/>
      <name val="Calibri"/>
      <family val="2"/>
    </font>
    <font>
      <b/>
      <sz val="14"/>
      <color theme="0"/>
      <name val="Calibri"/>
      <family val="2"/>
    </font>
    <font>
      <sz val="14"/>
      <color theme="0"/>
      <name val="Calibri"/>
      <family val="2"/>
    </font>
    <font>
      <b/>
      <i/>
      <sz val="9"/>
      <color theme="6"/>
      <name val="Calibri"/>
      <family val="2"/>
    </font>
    <font>
      <i/>
      <sz val="9"/>
      <color theme="6"/>
      <name val="Calibri"/>
      <family val="2"/>
    </font>
    <font>
      <i/>
      <sz val="12"/>
      <color theme="0"/>
      <name val="Calibri"/>
      <family val="2"/>
    </font>
    <font>
      <b/>
      <i/>
      <sz val="16"/>
      <color theme="5"/>
      <name val="Calibri"/>
      <family val="2"/>
    </font>
    <font>
      <sz val="12"/>
      <color theme="0"/>
      <name val="Calibri"/>
      <family val="2"/>
    </font>
    <font>
      <b/>
      <sz val="13"/>
      <color theme="0"/>
      <name val="Calibri"/>
      <family val="2"/>
    </font>
    <font>
      <sz val="13"/>
      <color theme="0"/>
      <name val="Calibri"/>
      <family val="2"/>
    </font>
    <font>
      <b/>
      <i/>
      <u/>
      <sz val="14"/>
      <color theme="5"/>
      <name val="Calibri"/>
      <family val="2"/>
    </font>
    <font>
      <b/>
      <i/>
      <sz val="18"/>
      <color theme="0"/>
      <name val="Calibri"/>
      <family val="2"/>
    </font>
    <font>
      <u/>
      <sz val="12"/>
      <color theme="0"/>
      <name val="Calibri"/>
      <family val="2"/>
    </font>
    <font>
      <b/>
      <i/>
      <sz val="14"/>
      <color theme="0"/>
      <name val="Calibri"/>
      <family val="2"/>
    </font>
    <font>
      <b/>
      <i/>
      <sz val="12"/>
      <color theme="5"/>
      <name val="Calibri"/>
      <family val="2"/>
    </font>
    <font>
      <sz val="11"/>
      <color rgb="FFFF0000"/>
      <name val="Calibri"/>
      <family val="2"/>
    </font>
    <font>
      <sz val="12"/>
      <color rgb="FFFF0000"/>
      <name val="Calibri"/>
      <family val="2"/>
    </font>
  </fonts>
  <fills count="16">
    <fill>
      <patternFill patternType="none"/>
    </fill>
    <fill>
      <patternFill patternType="gray125"/>
    </fill>
    <fill>
      <patternFill patternType="solid">
        <fgColor theme="8" tint="0.39997558519241921"/>
        <bgColor indexed="64"/>
      </patternFill>
    </fill>
    <fill>
      <patternFill patternType="solid">
        <fgColor theme="6" tint="-0.49998474074526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89999084444715716"/>
        <bgColor indexed="64"/>
      </patternFill>
    </fill>
    <fill>
      <gradientFill>
        <stop position="0">
          <color theme="5" tint="0.59999389629810485"/>
        </stop>
        <stop position="1">
          <color rgb="FFA3B826"/>
        </stop>
      </gradientFill>
    </fill>
    <fill>
      <patternFill patternType="solid">
        <fgColor theme="3"/>
        <bgColor indexed="64"/>
      </patternFill>
    </fill>
    <fill>
      <patternFill patternType="solid">
        <fgColor rgb="FFA3B826"/>
        <bgColor indexed="64"/>
      </patternFill>
    </fill>
    <fill>
      <patternFill patternType="solid">
        <fgColor theme="6"/>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theme="8" tint="0.39994506668294322"/>
      </left>
      <right style="thin">
        <color theme="8" tint="0.39994506668294322"/>
      </right>
      <top style="medium">
        <color theme="8" tint="0.39994506668294322"/>
      </top>
      <bottom style="thin">
        <color theme="8" tint="0.39994506668294322"/>
      </bottom>
      <diagonal/>
    </border>
    <border>
      <left style="medium">
        <color theme="8" tint="0.39994506668294322"/>
      </left>
      <right/>
      <top style="medium">
        <color theme="8" tint="0.39994506668294322"/>
      </top>
      <bottom style="thin">
        <color theme="8" tint="0.39994506668294322"/>
      </bottom>
      <diagonal/>
    </border>
    <border>
      <left/>
      <right/>
      <top style="medium">
        <color theme="8" tint="0.39994506668294322"/>
      </top>
      <bottom style="thin">
        <color theme="8" tint="0.39994506668294322"/>
      </bottom>
      <diagonal/>
    </border>
    <border>
      <left/>
      <right style="thin">
        <color theme="8" tint="0.39994506668294322"/>
      </right>
      <top style="medium">
        <color theme="8" tint="0.39994506668294322"/>
      </top>
      <bottom style="thin">
        <color theme="8"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theme="5" tint="0.79998168889431442"/>
      </right>
      <top/>
      <bottom/>
      <diagonal/>
    </border>
    <border>
      <left/>
      <right style="medium">
        <color theme="5" tint="0.79998168889431442"/>
      </right>
      <top/>
      <bottom style="medium">
        <color theme="5" tint="0.79998168889431442"/>
      </bottom>
      <diagonal/>
    </border>
    <border>
      <left style="thick">
        <color theme="5" tint="0.79998168889431442"/>
      </left>
      <right/>
      <top style="thick">
        <color theme="5" tint="0.79998168889431442"/>
      </top>
      <bottom/>
      <diagonal/>
    </border>
    <border>
      <left/>
      <right style="medium">
        <color theme="5" tint="0.79998168889431442"/>
      </right>
      <top style="thick">
        <color theme="5" tint="0.79998168889431442"/>
      </top>
      <bottom/>
      <diagonal/>
    </border>
    <border>
      <left style="thick">
        <color theme="5" tint="0.79998168889431442"/>
      </left>
      <right/>
      <top/>
      <bottom/>
      <diagonal/>
    </border>
    <border>
      <left style="thick">
        <color theme="5" tint="0.79998168889431442"/>
      </left>
      <right/>
      <top/>
      <bottom style="medium">
        <color theme="5" tint="0.7999816888943144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5" tint="0.79998168889431442"/>
      </left>
      <right/>
      <top/>
      <bottom style="medium">
        <color theme="5" tint="0.79995117038483843"/>
      </bottom>
      <diagonal/>
    </border>
    <border>
      <left/>
      <right style="medium">
        <color theme="5" tint="0.79998168889431442"/>
      </right>
      <top/>
      <bottom style="medium">
        <color theme="5" tint="0.79995117038483843"/>
      </bottom>
      <diagonal/>
    </border>
    <border>
      <left style="thick">
        <color theme="5" tint="0.79998168889431442"/>
      </left>
      <right/>
      <top style="thick">
        <color theme="5" tint="0.79995117038483843"/>
      </top>
      <bottom/>
      <diagonal/>
    </border>
    <border>
      <left/>
      <right style="medium">
        <color theme="5" tint="0.79998168889431442"/>
      </right>
      <top style="thick">
        <color theme="5" tint="0.79995117038483843"/>
      </top>
      <bottom/>
      <diagonal/>
    </border>
    <border>
      <left/>
      <right/>
      <top style="thick">
        <color theme="5" tint="0.79998168889431442"/>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3" fillId="0" borderId="0" xfId="0" applyFont="1"/>
    <xf numFmtId="43" fontId="0" fillId="0" borderId="0" xfId="1" applyFont="1"/>
    <xf numFmtId="0" fontId="0" fillId="4" borderId="0" xfId="0" applyFill="1"/>
    <xf numFmtId="0" fontId="2" fillId="0" borderId="0" xfId="0" applyFont="1"/>
    <xf numFmtId="0" fontId="3" fillId="0" borderId="0" xfId="0" quotePrefix="1" applyFont="1"/>
    <xf numFmtId="49" fontId="0" fillId="0" borderId="0" xfId="0" applyNumberFormat="1"/>
    <xf numFmtId="49" fontId="3" fillId="0" borderId="0" xfId="0" applyNumberFormat="1" applyFont="1"/>
    <xf numFmtId="0" fontId="0" fillId="6" borderId="0" xfId="0" applyFill="1"/>
    <xf numFmtId="0" fontId="4" fillId="6" borderId="0" xfId="0" applyFont="1" applyFill="1" applyAlignment="1">
      <alignment vertical="center"/>
    </xf>
    <xf numFmtId="0" fontId="4" fillId="7" borderId="0" xfId="0" applyFont="1" applyFill="1" applyAlignment="1">
      <alignment vertical="center"/>
    </xf>
    <xf numFmtId="0" fontId="0" fillId="7" borderId="0" xfId="0" applyFill="1"/>
    <xf numFmtId="43" fontId="0" fillId="7" borderId="0" xfId="1" applyFont="1" applyFill="1"/>
    <xf numFmtId="43" fontId="0" fillId="0" borderId="0" xfId="0" applyNumberFormat="1"/>
    <xf numFmtId="0" fontId="5" fillId="0" borderId="0" xfId="0" applyFont="1"/>
    <xf numFmtId="0" fontId="16"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wrapText="1"/>
    </xf>
    <xf numFmtId="0" fontId="7" fillId="0" borderId="0" xfId="0" applyFont="1"/>
    <xf numFmtId="0" fontId="7" fillId="0" borderId="0" xfId="0" applyFont="1" applyAlignment="1">
      <alignment vertical="center"/>
    </xf>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6" fillId="3" borderId="4" xfId="0" applyFont="1" applyFill="1" applyBorder="1" applyAlignment="1">
      <alignment vertical="center"/>
    </xf>
    <xf numFmtId="0" fontId="5" fillId="3" borderId="5" xfId="0" applyFont="1" applyFill="1" applyBorder="1"/>
    <xf numFmtId="0" fontId="5" fillId="3" borderId="6" xfId="0" applyFont="1" applyFill="1" applyBorder="1"/>
    <xf numFmtId="0" fontId="5" fillId="3" borderId="0" xfId="0" applyFont="1" applyFill="1"/>
    <xf numFmtId="0" fontId="4" fillId="0" borderId="0" xfId="0" applyFont="1"/>
    <xf numFmtId="0" fontId="14" fillId="0" borderId="7" xfId="0" applyFont="1" applyBorder="1" applyAlignment="1">
      <alignment vertical="center"/>
    </xf>
    <xf numFmtId="0" fontId="5" fillId="0" borderId="8" xfId="0" applyFont="1" applyBorder="1"/>
    <xf numFmtId="0" fontId="14" fillId="0" borderId="0" xfId="0" applyFont="1" applyAlignment="1">
      <alignment vertical="center"/>
    </xf>
    <xf numFmtId="0" fontId="12" fillId="2" borderId="7" xfId="0" applyFont="1" applyFill="1" applyBorder="1" applyAlignment="1">
      <alignment vertical="center"/>
    </xf>
    <xf numFmtId="0" fontId="4" fillId="2" borderId="0" xfId="0" applyFont="1" applyFill="1" applyAlignment="1">
      <alignment vertical="center"/>
    </xf>
    <xf numFmtId="0" fontId="4" fillId="2" borderId="8" xfId="0" applyFont="1" applyFill="1" applyBorder="1" applyAlignment="1">
      <alignment vertical="center"/>
    </xf>
    <xf numFmtId="0" fontId="15" fillId="3" borderId="4" xfId="0" applyFont="1" applyFill="1" applyBorder="1" applyAlignment="1">
      <alignment vertical="center"/>
    </xf>
    <xf numFmtId="0" fontId="15" fillId="3" borderId="5" xfId="0" applyFont="1" applyFill="1" applyBorder="1" applyAlignment="1">
      <alignment horizontal="center" vertical="center" wrapText="1"/>
    </xf>
    <xf numFmtId="0" fontId="4" fillId="0" borderId="7" xfId="0" applyFont="1" applyBorder="1" applyAlignment="1">
      <alignment vertical="center"/>
    </xf>
    <xf numFmtId="164" fontId="4" fillId="0" borderId="12" xfId="0" applyNumberFormat="1" applyFont="1" applyBorder="1" applyAlignment="1">
      <alignment vertical="center"/>
    </xf>
    <xf numFmtId="0" fontId="12" fillId="5" borderId="1" xfId="0" applyFont="1" applyFill="1" applyBorder="1" applyAlignment="1">
      <alignment vertical="center"/>
    </xf>
    <xf numFmtId="164" fontId="4" fillId="5" borderId="13" xfId="0" applyNumberFormat="1" applyFont="1" applyFill="1" applyBorder="1" applyAlignment="1">
      <alignment vertical="center"/>
    </xf>
    <xf numFmtId="0" fontId="12" fillId="2" borderId="1" xfId="0" applyFont="1" applyFill="1" applyBorder="1" applyAlignment="1">
      <alignment vertical="center"/>
    </xf>
    <xf numFmtId="167"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4" fillId="8" borderId="14" xfId="0" applyFont="1" applyFill="1" applyBorder="1" applyAlignment="1" applyProtection="1">
      <alignment horizontal="center" vertical="center"/>
      <protection locked="0"/>
    </xf>
    <xf numFmtId="165" fontId="4" fillId="8" borderId="14" xfId="1" applyNumberFormat="1" applyFont="1" applyFill="1" applyBorder="1" applyAlignment="1" applyProtection="1">
      <alignment horizontal="right" vertical="center"/>
      <protection locked="0"/>
    </xf>
    <xf numFmtId="0" fontId="4" fillId="8" borderId="14" xfId="0" applyFont="1" applyFill="1" applyBorder="1" applyAlignment="1" applyProtection="1">
      <alignment horizontal="right" vertical="center"/>
      <protection locked="0"/>
    </xf>
    <xf numFmtId="43" fontId="0" fillId="6" borderId="0" xfId="0" applyNumberFormat="1" applyFill="1"/>
    <xf numFmtId="168" fontId="20" fillId="0" borderId="0" xfId="3" applyNumberFormat="1" applyFont="1" applyAlignment="1">
      <alignment vertical="center"/>
    </xf>
    <xf numFmtId="168" fontId="20" fillId="0" borderId="18" xfId="3" applyNumberFormat="1" applyFont="1" applyBorder="1" applyAlignment="1">
      <alignment vertical="center"/>
    </xf>
    <xf numFmtId="168" fontId="20" fillId="0" borderId="12" xfId="3" applyNumberFormat="1" applyFont="1" applyBorder="1" applyAlignment="1">
      <alignment vertical="center"/>
    </xf>
    <xf numFmtId="168" fontId="20" fillId="0" borderId="19" xfId="3" applyNumberFormat="1" applyFont="1" applyBorder="1" applyAlignment="1">
      <alignment vertical="center"/>
    </xf>
    <xf numFmtId="0" fontId="22" fillId="3" borderId="5" xfId="0" applyFont="1" applyFill="1" applyBorder="1" applyAlignment="1">
      <alignment horizontal="center" vertical="center" wrapText="1"/>
    </xf>
    <xf numFmtId="164" fontId="7" fillId="0" borderId="0" xfId="0" applyNumberFormat="1" applyFont="1"/>
    <xf numFmtId="164" fontId="19" fillId="0" borderId="0" xfId="0" applyNumberFormat="1" applyFont="1"/>
    <xf numFmtId="0" fontId="4" fillId="0" borderId="0" xfId="0" applyFont="1" applyAlignment="1">
      <alignment horizontal="left" vertical="center" indent="2"/>
    </xf>
    <xf numFmtId="0" fontId="25" fillId="0" borderId="0" xfId="0" applyFont="1" applyAlignment="1">
      <alignment horizontal="left" vertical="center"/>
    </xf>
    <xf numFmtId="0" fontId="26" fillId="10" borderId="7" xfId="0" applyFont="1" applyFill="1" applyBorder="1" applyAlignment="1">
      <alignment horizontal="left" vertical="center" wrapText="1"/>
    </xf>
    <xf numFmtId="0" fontId="27" fillId="0" borderId="0" xfId="0" applyFont="1"/>
    <xf numFmtId="164" fontId="26" fillId="10" borderId="12" xfId="0" applyNumberFormat="1" applyFont="1" applyFill="1" applyBorder="1" applyAlignment="1">
      <alignment vertical="center"/>
    </xf>
    <xf numFmtId="0" fontId="26" fillId="10" borderId="7" xfId="0" applyFont="1" applyFill="1" applyBorder="1" applyAlignment="1">
      <alignment vertical="center"/>
    </xf>
    <xf numFmtId="0" fontId="7" fillId="9" borderId="22" xfId="0" applyFont="1" applyFill="1" applyBorder="1" applyAlignment="1">
      <alignment horizontal="left" vertical="center" indent="4"/>
    </xf>
    <xf numFmtId="0" fontId="7" fillId="9" borderId="24" xfId="0" applyFont="1" applyFill="1" applyBorder="1"/>
    <xf numFmtId="0" fontId="7" fillId="9" borderId="25" xfId="0" applyFont="1" applyFill="1" applyBorder="1"/>
    <xf numFmtId="0" fontId="12" fillId="6" borderId="0" xfId="0" applyFont="1" applyFill="1" applyAlignment="1">
      <alignment vertical="center"/>
    </xf>
    <xf numFmtId="0" fontId="4" fillId="6" borderId="26" xfId="0" applyFont="1" applyFill="1" applyBorder="1" applyAlignment="1">
      <alignment vertical="center"/>
    </xf>
    <xf numFmtId="43" fontId="0" fillId="4" borderId="28" xfId="1" applyFont="1" applyFill="1" applyBorder="1"/>
    <xf numFmtId="0" fontId="4" fillId="6" borderId="29" xfId="0" applyFont="1" applyFill="1" applyBorder="1" applyAlignment="1">
      <alignment vertical="center"/>
    </xf>
    <xf numFmtId="43" fontId="0" fillId="0" borderId="0" xfId="1" applyFont="1" applyBorder="1"/>
    <xf numFmtId="43" fontId="0" fillId="4" borderId="30" xfId="1" applyFont="1" applyFill="1" applyBorder="1"/>
    <xf numFmtId="43" fontId="0" fillId="0" borderId="30" xfId="1" applyFont="1" applyBorder="1"/>
    <xf numFmtId="0" fontId="4" fillId="6" borderId="31" xfId="0" applyFont="1" applyFill="1" applyBorder="1" applyAlignment="1">
      <alignment vertical="center"/>
    </xf>
    <xf numFmtId="43" fontId="0" fillId="0" borderId="32" xfId="1" applyFont="1" applyBorder="1"/>
    <xf numFmtId="43" fontId="0" fillId="4" borderId="33" xfId="1" applyFont="1" applyFill="1" applyBorder="1"/>
    <xf numFmtId="0" fontId="4" fillId="6" borderId="1" xfId="0" applyFont="1" applyFill="1" applyBorder="1" applyAlignment="1">
      <alignment vertical="center"/>
    </xf>
    <xf numFmtId="43" fontId="0" fillId="0" borderId="2" xfId="1" applyFont="1" applyBorder="1"/>
    <xf numFmtId="164" fontId="4" fillId="0" borderId="19" xfId="0" applyNumberFormat="1" applyFont="1" applyBorder="1" applyAlignment="1">
      <alignment vertical="center"/>
    </xf>
    <xf numFmtId="0" fontId="15" fillId="12" borderId="27" xfId="0" applyFont="1" applyFill="1" applyBorder="1" applyAlignment="1">
      <alignment vertical="center" wrapText="1"/>
    </xf>
    <xf numFmtId="164" fontId="29" fillId="12" borderId="28" xfId="0" applyNumberFormat="1" applyFont="1" applyFill="1" applyBorder="1" applyAlignment="1">
      <alignment horizontal="center" vertical="center"/>
    </xf>
    <xf numFmtId="0" fontId="15" fillId="12" borderId="0" xfId="0" applyFont="1" applyFill="1" applyAlignment="1">
      <alignment vertical="center" wrapText="1"/>
    </xf>
    <xf numFmtId="0" fontId="30" fillId="12" borderId="30" xfId="0" applyFont="1" applyFill="1" applyBorder="1" applyAlignment="1">
      <alignment horizontal="center" vertical="center"/>
    </xf>
    <xf numFmtId="0" fontId="15" fillId="12" borderId="32" xfId="0" applyFont="1" applyFill="1" applyBorder="1" applyAlignment="1">
      <alignment vertical="center" wrapText="1"/>
    </xf>
    <xf numFmtId="168" fontId="29" fillId="12" borderId="33" xfId="3" applyNumberFormat="1" applyFont="1" applyFill="1" applyBorder="1" applyAlignment="1" applyProtection="1">
      <alignment horizontal="center" vertical="center"/>
    </xf>
    <xf numFmtId="0" fontId="28" fillId="0" borderId="0" xfId="0" applyFont="1" applyAlignment="1">
      <alignment vertical="center" wrapText="1"/>
    </xf>
    <xf numFmtId="0" fontId="28" fillId="0" borderId="0" xfId="0" applyFont="1" applyAlignment="1">
      <alignment horizontal="left" vertical="center" wrapText="1" indent="3"/>
    </xf>
    <xf numFmtId="0" fontId="7" fillId="9" borderId="34" xfId="0" applyFont="1" applyFill="1" applyBorder="1"/>
    <xf numFmtId="0" fontId="28" fillId="11" borderId="35" xfId="0" applyFont="1" applyFill="1" applyBorder="1" applyAlignment="1">
      <alignment vertical="center" wrapText="1"/>
    </xf>
    <xf numFmtId="0" fontId="7" fillId="9" borderId="36" xfId="0" applyFont="1" applyFill="1" applyBorder="1" applyAlignment="1">
      <alignment horizontal="left" vertical="center" indent="4"/>
    </xf>
    <xf numFmtId="0" fontId="16" fillId="3" borderId="0" xfId="0" applyFont="1" applyFill="1" applyAlignment="1">
      <alignment horizontal="right" vertical="center"/>
    </xf>
    <xf numFmtId="0" fontId="16" fillId="3" borderId="0" xfId="0" applyFont="1" applyFill="1" applyAlignment="1">
      <alignment horizontal="left" vertical="center"/>
    </xf>
    <xf numFmtId="164" fontId="4" fillId="0" borderId="0" xfId="0" applyNumberFormat="1" applyFont="1" applyAlignment="1">
      <alignment vertical="center"/>
    </xf>
    <xf numFmtId="164" fontId="12" fillId="0" borderId="0" xfId="0" applyNumberFormat="1" applyFont="1" applyAlignment="1">
      <alignment vertical="center"/>
    </xf>
    <xf numFmtId="0" fontId="7" fillId="9" borderId="24" xfId="0" applyFont="1" applyFill="1" applyBorder="1" applyAlignment="1">
      <alignment horizontal="left" vertical="center" indent="4"/>
    </xf>
    <xf numFmtId="0" fontId="4" fillId="0" borderId="0" xfId="0" applyFont="1" applyAlignment="1" applyProtection="1">
      <alignment horizontal="right" vertical="center"/>
      <protection locked="0"/>
    </xf>
    <xf numFmtId="0" fontId="25" fillId="0" borderId="0" xfId="0" applyFont="1" applyAlignment="1">
      <alignment horizontal="left" vertical="top"/>
    </xf>
    <xf numFmtId="0" fontId="10" fillId="0" borderId="0" xfId="0" applyFont="1" applyAlignment="1">
      <alignment horizontal="right" vertical="center" indent="1"/>
    </xf>
    <xf numFmtId="0" fontId="35" fillId="0" borderId="0" xfId="0" applyFont="1" applyAlignment="1">
      <alignment vertical="center"/>
    </xf>
    <xf numFmtId="0" fontId="36" fillId="13" borderId="0" xfId="0" applyFont="1" applyFill="1" applyAlignment="1">
      <alignment vertical="center" wrapText="1"/>
    </xf>
    <xf numFmtId="0" fontId="37" fillId="13" borderId="29" xfId="0" applyFont="1" applyFill="1" applyBorder="1" applyAlignment="1">
      <alignment horizontal="center" vertical="center"/>
    </xf>
    <xf numFmtId="0" fontId="29" fillId="13" borderId="31" xfId="0" applyFont="1" applyFill="1" applyBorder="1" applyAlignment="1">
      <alignment horizontal="center" vertical="center" wrapText="1"/>
    </xf>
    <xf numFmtId="0" fontId="36" fillId="12" borderId="0" xfId="0" applyFont="1" applyFill="1" applyAlignment="1">
      <alignment vertical="center" wrapText="1"/>
    </xf>
    <xf numFmtId="0" fontId="36" fillId="14" borderId="27" xfId="0" applyFont="1" applyFill="1" applyBorder="1" applyAlignment="1">
      <alignment vertical="center" wrapText="1"/>
    </xf>
    <xf numFmtId="0" fontId="29" fillId="13" borderId="32" xfId="0" applyFont="1" applyFill="1" applyBorder="1" applyAlignment="1">
      <alignment vertical="center" wrapText="1"/>
    </xf>
    <xf numFmtId="0" fontId="37" fillId="13" borderId="30" xfId="0" applyFont="1" applyFill="1" applyBorder="1" applyAlignment="1">
      <alignment horizontal="right" vertical="center" indent="3"/>
    </xf>
    <xf numFmtId="164" fontId="29" fillId="13" borderId="33" xfId="3" applyNumberFormat="1" applyFont="1" applyFill="1" applyBorder="1" applyAlignment="1" applyProtection="1">
      <alignment horizontal="right" vertical="center" indent="3"/>
    </xf>
    <xf numFmtId="0" fontId="35" fillId="14" borderId="26" xfId="0" applyFont="1" applyFill="1" applyBorder="1" applyAlignment="1">
      <alignment horizontal="center" vertical="center" wrapText="1"/>
    </xf>
    <xf numFmtId="0" fontId="35" fillId="12" borderId="29" xfId="0" applyFont="1" applyFill="1" applyBorder="1" applyAlignment="1">
      <alignment horizontal="center" vertical="center" wrapText="1"/>
    </xf>
    <xf numFmtId="164" fontId="37" fillId="14" borderId="28" xfId="0" applyNumberFormat="1" applyFont="1" applyFill="1" applyBorder="1" applyAlignment="1">
      <alignment horizontal="right" vertical="center" indent="3"/>
    </xf>
    <xf numFmtId="164" fontId="37" fillId="12" borderId="30" xfId="0" applyNumberFormat="1" applyFont="1" applyFill="1" applyBorder="1" applyAlignment="1">
      <alignment horizontal="right" vertical="center" indent="3"/>
    </xf>
    <xf numFmtId="0" fontId="39" fillId="12" borderId="1" xfId="0" applyFont="1" applyFill="1" applyBorder="1" applyAlignment="1">
      <alignment horizontal="center" vertical="center" wrapText="1"/>
    </xf>
    <xf numFmtId="0" fontId="39" fillId="12" borderId="2" xfId="0" applyFont="1" applyFill="1" applyBorder="1" applyAlignment="1">
      <alignment horizontal="center" vertical="center" wrapText="1"/>
    </xf>
    <xf numFmtId="0" fontId="39" fillId="1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8" borderId="15" xfId="0" applyFont="1" applyFill="1" applyBorder="1" applyAlignment="1" applyProtection="1">
      <alignment horizontal="center" vertical="center"/>
      <protection locked="0"/>
    </xf>
    <xf numFmtId="0" fontId="4" fillId="8" borderId="16"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29" fillId="12" borderId="26"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29" fillId="12" borderId="31" xfId="0" applyFont="1" applyFill="1" applyBorder="1" applyAlignment="1">
      <alignment horizontal="center" vertical="center" wrapText="1"/>
    </xf>
    <xf numFmtId="0" fontId="31" fillId="11" borderId="23" xfId="0" applyFont="1" applyFill="1" applyBorder="1" applyAlignment="1">
      <alignment horizontal="left" vertical="center" wrapText="1" indent="3"/>
    </xf>
    <xf numFmtId="0" fontId="31" fillId="11" borderId="20" xfId="0" applyFont="1" applyFill="1" applyBorder="1" applyAlignment="1">
      <alignment horizontal="left" vertical="center" wrapText="1" indent="3"/>
    </xf>
    <xf numFmtId="0" fontId="31" fillId="11" borderId="21" xfId="0" applyFont="1" applyFill="1" applyBorder="1" applyAlignment="1">
      <alignment horizontal="left" vertical="center" wrapText="1" indent="3"/>
    </xf>
    <xf numFmtId="0" fontId="31" fillId="11" borderId="37" xfId="0" applyFont="1" applyFill="1" applyBorder="1" applyAlignment="1">
      <alignment horizontal="left" vertical="center" wrapText="1" indent="3"/>
    </xf>
    <xf numFmtId="0" fontId="0" fillId="0" borderId="0" xfId="0" applyFill="1" applyBorder="1"/>
    <xf numFmtId="164" fontId="26" fillId="10" borderId="12" xfId="0" applyNumberFormat="1" applyFont="1" applyFill="1" applyBorder="1" applyAlignment="1">
      <alignment horizontal="right" vertical="center"/>
    </xf>
    <xf numFmtId="9" fontId="0" fillId="0" borderId="0" xfId="3" applyFont="1"/>
    <xf numFmtId="0" fontId="31" fillId="11" borderId="38" xfId="0" applyFont="1" applyFill="1" applyBorder="1" applyAlignment="1">
      <alignment horizontal="left" vertical="center" wrapText="1" indent="3"/>
    </xf>
    <xf numFmtId="0" fontId="31" fillId="11" borderId="0" xfId="0" applyFont="1" applyFill="1" applyBorder="1" applyAlignment="1">
      <alignment horizontal="left" vertical="center" wrapText="1" indent="3"/>
    </xf>
    <xf numFmtId="0" fontId="42" fillId="0" borderId="0" xfId="0" applyFont="1" applyAlignment="1">
      <alignment horizontal="right" vertical="top"/>
    </xf>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Border="1"/>
    <xf numFmtId="0" fontId="0" fillId="0" borderId="30" xfId="0" applyBorder="1"/>
    <xf numFmtId="0" fontId="0" fillId="0" borderId="31" xfId="0" applyBorder="1"/>
    <xf numFmtId="0" fontId="0" fillId="0" borderId="32" xfId="0" applyBorder="1"/>
    <xf numFmtId="0" fontId="0" fillId="0" borderId="33" xfId="0" applyBorder="1"/>
    <xf numFmtId="43" fontId="0" fillId="0" borderId="39" xfId="1" applyFont="1" applyBorder="1"/>
    <xf numFmtId="0" fontId="0" fillId="0" borderId="29" xfId="0" applyFill="1" applyBorder="1"/>
    <xf numFmtId="43" fontId="4" fillId="8" borderId="14" xfId="1" applyNumberFormat="1" applyFont="1" applyFill="1" applyBorder="1" applyAlignment="1" applyProtection="1">
      <alignment horizontal="right" vertical="center"/>
      <protection locked="0"/>
    </xf>
    <xf numFmtId="0" fontId="43" fillId="0" borderId="0" xfId="0" applyFont="1" applyAlignment="1">
      <alignment vertical="center"/>
    </xf>
    <xf numFmtId="0" fontId="44" fillId="0" borderId="0" xfId="0" applyFont="1" applyAlignment="1">
      <alignment vertical="center"/>
    </xf>
    <xf numFmtId="2" fontId="4" fillId="6" borderId="0" xfId="0" applyNumberFormat="1" applyFont="1" applyFill="1" applyAlignment="1">
      <alignment vertical="center"/>
    </xf>
    <xf numFmtId="179" fontId="7" fillId="0" borderId="0" xfId="0" applyNumberFormat="1" applyFont="1" applyAlignment="1">
      <alignment vertical="center"/>
    </xf>
    <xf numFmtId="2" fontId="0" fillId="0" borderId="0" xfId="0" applyNumberFormat="1"/>
    <xf numFmtId="0" fontId="24" fillId="0" borderId="10" xfId="0" applyFont="1" applyBorder="1" applyAlignment="1">
      <alignment horizontal="left" vertical="center" wrapText="1"/>
    </xf>
    <xf numFmtId="0" fontId="4" fillId="0" borderId="0" xfId="0" applyFont="1" applyAlignment="1">
      <alignment horizontal="center" vertical="center"/>
    </xf>
    <xf numFmtId="0" fontId="7" fillId="9" borderId="38" xfId="0" applyFont="1" applyFill="1" applyBorder="1" applyAlignment="1">
      <alignment vertical="center"/>
    </xf>
    <xf numFmtId="0" fontId="7" fillId="9" borderId="0" xfId="0" applyFont="1" applyFill="1" applyBorder="1" applyAlignment="1">
      <alignment vertical="center"/>
    </xf>
    <xf numFmtId="0" fontId="0" fillId="15" borderId="1" xfId="0" applyFill="1" applyBorder="1"/>
    <xf numFmtId="0" fontId="0" fillId="15" borderId="3" xfId="0" applyFill="1" applyBorder="1"/>
    <xf numFmtId="0" fontId="22" fillId="0" borderId="0" xfId="0" applyFont="1" applyAlignment="1">
      <alignment vertical="center"/>
    </xf>
    <xf numFmtId="0" fontId="12" fillId="0" borderId="0" xfId="0" applyFont="1" applyAlignment="1">
      <alignment horizontal="center" vertical="center"/>
    </xf>
    <xf numFmtId="0" fontId="7" fillId="0" borderId="0" xfId="0" applyFont="1" applyAlignment="1" applyProtection="1">
      <alignment vertical="center"/>
    </xf>
    <xf numFmtId="0" fontId="4" fillId="0" borderId="0" xfId="0" quotePrefix="1" applyFont="1" applyAlignment="1" applyProtection="1">
      <alignment horizontal="left" vertical="top" wrapText="1"/>
    </xf>
    <xf numFmtId="0" fontId="4" fillId="0" borderId="0" xfId="0" applyFont="1" applyAlignment="1" applyProtection="1">
      <alignment vertical="center"/>
    </xf>
  </cellXfs>
  <cellStyles count="4">
    <cellStyle name="Comma" xfId="1" builtinId="3"/>
    <cellStyle name="Comma 2" xfId="2" xr:uid="{D615CAA3-10EC-4E7C-949F-41CCD9E03329}"/>
    <cellStyle name="Normal" xfId="0" builtinId="0"/>
    <cellStyle name="Percent" xfId="3" builtinId="5"/>
  </cellStyles>
  <dxfs count="5">
    <dxf>
      <font>
        <color theme="0"/>
      </font>
      <fill>
        <patternFill patternType="none">
          <bgColor auto="1"/>
        </patternFill>
      </fill>
      <border>
        <left/>
        <right/>
        <top/>
        <bottom/>
        <vertical/>
        <horizontal/>
      </border>
    </dxf>
    <dxf>
      <font>
        <color theme="0"/>
      </font>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dxf>
  </dxfs>
  <tableStyles count="0" defaultTableStyle="TableStyleMedium2" defaultPivotStyle="PivotStyleLight16"/>
  <colors>
    <mruColors>
      <color rgb="FFA3B826"/>
      <color rgb="FFD1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2.png"/><Relationship Id="rId7" Type="http://schemas.openxmlformats.org/officeDocument/2006/relationships/image" Target="../media/image6.sv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xdr:from>
      <xdr:col>8</xdr:col>
      <xdr:colOff>156464</xdr:colOff>
      <xdr:row>1</xdr:row>
      <xdr:rowOff>98199</xdr:rowOff>
    </xdr:from>
    <xdr:to>
      <xdr:col>8</xdr:col>
      <xdr:colOff>587827</xdr:colOff>
      <xdr:row>1</xdr:row>
      <xdr:rowOff>689252</xdr:rowOff>
    </xdr:to>
    <xdr:sp macro="" textlink="">
      <xdr:nvSpPr>
        <xdr:cNvPr id="202" name="Freeform: Shape 201">
          <a:extLst>
            <a:ext uri="{FF2B5EF4-FFF2-40B4-BE49-F238E27FC236}">
              <a16:creationId xmlns:a16="http://schemas.microsoft.com/office/drawing/2014/main" id="{B4368C8D-D3BF-4C1B-87E8-DB970FB04FBB}"/>
            </a:ext>
          </a:extLst>
        </xdr:cNvPr>
        <xdr:cNvSpPr/>
      </xdr:nvSpPr>
      <xdr:spPr>
        <a:xfrm rot="408141">
          <a:off x="6617720" y="460936"/>
          <a:ext cx="431363" cy="591053"/>
        </a:xfrm>
        <a:custGeom>
          <a:avLst/>
          <a:gdLst>
            <a:gd name="connsiteX0" fmla="*/ 0 w 258335"/>
            <a:gd name="connsiteY0" fmla="*/ 0 h 348344"/>
            <a:gd name="connsiteX1" fmla="*/ 258336 w 258335"/>
            <a:gd name="connsiteY1" fmla="*/ 0 h 348344"/>
            <a:gd name="connsiteX2" fmla="*/ 258336 w 258335"/>
            <a:gd name="connsiteY2" fmla="*/ 348344 h 348344"/>
            <a:gd name="connsiteX3" fmla="*/ 0 w 258335"/>
            <a:gd name="connsiteY3" fmla="*/ 348344 h 348344"/>
          </a:gdLst>
          <a:ahLst/>
          <a:cxnLst>
            <a:cxn ang="0">
              <a:pos x="connsiteX0" y="connsiteY0"/>
            </a:cxn>
            <a:cxn ang="0">
              <a:pos x="connsiteX1" y="connsiteY1"/>
            </a:cxn>
            <a:cxn ang="0">
              <a:pos x="connsiteX2" y="connsiteY2"/>
            </a:cxn>
            <a:cxn ang="0">
              <a:pos x="connsiteX3" y="connsiteY3"/>
            </a:cxn>
          </a:cxnLst>
          <a:rect l="l" t="t" r="r" b="b"/>
          <a:pathLst>
            <a:path w="258335" h="348344">
              <a:moveTo>
                <a:pt x="0" y="0"/>
              </a:moveTo>
              <a:lnTo>
                <a:pt x="258336" y="0"/>
              </a:lnTo>
              <a:lnTo>
                <a:pt x="258336" y="348344"/>
              </a:lnTo>
              <a:lnTo>
                <a:pt x="0" y="348344"/>
              </a:lnTo>
              <a:close/>
            </a:path>
          </a:pathLst>
        </a:custGeom>
        <a:solidFill>
          <a:schemeClr val="accent2"/>
        </a:solidFill>
        <a:ln w="1161" cap="flat">
          <a:noFill/>
          <a:prstDash val="solid"/>
          <a:miter/>
        </a:ln>
      </xdr:spPr>
      <xdr:txBody>
        <a:bodyPr rtlCol="0" anchor="ctr"/>
        <a:lstStyle/>
        <a:p>
          <a:endParaRPr lang="en-US"/>
        </a:p>
      </xdr:txBody>
    </xdr:sp>
    <xdr:clientData/>
  </xdr:twoCellAnchor>
  <xdr:twoCellAnchor>
    <xdr:from>
      <xdr:col>8</xdr:col>
      <xdr:colOff>195209</xdr:colOff>
      <xdr:row>1</xdr:row>
      <xdr:rowOff>213819</xdr:rowOff>
    </xdr:from>
    <xdr:to>
      <xdr:col>8</xdr:col>
      <xdr:colOff>605944</xdr:colOff>
      <xdr:row>1</xdr:row>
      <xdr:rowOff>779106</xdr:rowOff>
    </xdr:to>
    <xdr:grpSp>
      <xdr:nvGrpSpPr>
        <xdr:cNvPr id="203" name="Graphic 53" descr="Laptop with phone and calculator">
          <a:extLst>
            <a:ext uri="{FF2B5EF4-FFF2-40B4-BE49-F238E27FC236}">
              <a16:creationId xmlns:a16="http://schemas.microsoft.com/office/drawing/2014/main" id="{56327CC8-9992-493C-A1E3-FCC841F28D26}"/>
            </a:ext>
          </a:extLst>
        </xdr:cNvPr>
        <xdr:cNvGrpSpPr/>
      </xdr:nvGrpSpPr>
      <xdr:grpSpPr>
        <a:xfrm rot="1069881">
          <a:off x="7708529" y="312879"/>
          <a:ext cx="410735" cy="565287"/>
          <a:chOff x="6024395" y="873370"/>
          <a:chExt cx="258343" cy="348355"/>
        </a:xfrm>
      </xdr:grpSpPr>
      <xdr:sp macro="" textlink="">
        <xdr:nvSpPr>
          <xdr:cNvPr id="204" name="Freeform: Shape 203">
            <a:extLst>
              <a:ext uri="{FF2B5EF4-FFF2-40B4-BE49-F238E27FC236}">
                <a16:creationId xmlns:a16="http://schemas.microsoft.com/office/drawing/2014/main" id="{4C475800-FA99-7C23-B8FF-F44EE7759CD7}"/>
              </a:ext>
            </a:extLst>
          </xdr:cNvPr>
          <xdr:cNvSpPr/>
        </xdr:nvSpPr>
        <xdr:spPr>
          <a:xfrm>
            <a:off x="6024395" y="873370"/>
            <a:ext cx="258343" cy="348355"/>
          </a:xfrm>
          <a:custGeom>
            <a:avLst/>
            <a:gdLst>
              <a:gd name="connsiteX0" fmla="*/ 0 w 258343"/>
              <a:gd name="connsiteY0" fmla="*/ 0 h 348355"/>
              <a:gd name="connsiteX1" fmla="*/ 258344 w 258343"/>
              <a:gd name="connsiteY1" fmla="*/ 0 h 348355"/>
              <a:gd name="connsiteX2" fmla="*/ 258344 w 258343"/>
              <a:gd name="connsiteY2" fmla="*/ 348355 h 348355"/>
              <a:gd name="connsiteX3" fmla="*/ 0 w 258343"/>
              <a:gd name="connsiteY3" fmla="*/ 348355 h 348355"/>
            </a:gdLst>
            <a:ahLst/>
            <a:cxnLst>
              <a:cxn ang="0">
                <a:pos x="connsiteX0" y="connsiteY0"/>
              </a:cxn>
              <a:cxn ang="0">
                <a:pos x="connsiteX1" y="connsiteY1"/>
              </a:cxn>
              <a:cxn ang="0">
                <a:pos x="connsiteX2" y="connsiteY2"/>
              </a:cxn>
              <a:cxn ang="0">
                <a:pos x="connsiteX3" y="connsiteY3"/>
              </a:cxn>
            </a:cxnLst>
            <a:rect l="l" t="t" r="r" b="b"/>
            <a:pathLst>
              <a:path w="258343" h="348355">
                <a:moveTo>
                  <a:pt x="0" y="0"/>
                </a:moveTo>
                <a:lnTo>
                  <a:pt x="258344" y="0"/>
                </a:lnTo>
                <a:lnTo>
                  <a:pt x="258344" y="348355"/>
                </a:lnTo>
                <a:lnTo>
                  <a:pt x="0" y="348355"/>
                </a:lnTo>
                <a:close/>
              </a:path>
            </a:pathLst>
          </a:custGeom>
          <a:solidFill>
            <a:srgbClr val="F2F2F2"/>
          </a:solidFill>
          <a:ln w="1161" cap="flat">
            <a:noFill/>
            <a:prstDash val="solid"/>
            <a:miter/>
          </a:ln>
        </xdr:spPr>
        <xdr:txBody>
          <a:bodyPr rtlCol="0" anchor="ctr"/>
          <a:lstStyle/>
          <a:p>
            <a:endParaRPr lang="en-US"/>
          </a:p>
        </xdr:txBody>
      </xdr:sp>
      <xdr:sp macro="" textlink="">
        <xdr:nvSpPr>
          <xdr:cNvPr id="205" name="Freeform: Shape 204">
            <a:extLst>
              <a:ext uri="{FF2B5EF4-FFF2-40B4-BE49-F238E27FC236}">
                <a16:creationId xmlns:a16="http://schemas.microsoft.com/office/drawing/2014/main" id="{8380C921-A833-2A45-E5D1-5E7AA9BF61A4}"/>
              </a:ext>
            </a:extLst>
          </xdr:cNvPr>
          <xdr:cNvSpPr/>
        </xdr:nvSpPr>
        <xdr:spPr>
          <a:xfrm>
            <a:off x="6062376" y="937743"/>
            <a:ext cx="184698" cy="237769"/>
          </a:xfrm>
          <a:custGeom>
            <a:avLst/>
            <a:gdLst>
              <a:gd name="connsiteX0" fmla="*/ 184698 w 184698"/>
              <a:gd name="connsiteY0" fmla="*/ 237770 h 237769"/>
              <a:gd name="connsiteX1" fmla="*/ 0 w 184698"/>
              <a:gd name="connsiteY1" fmla="*/ 237770 h 237769"/>
              <a:gd name="connsiteX2" fmla="*/ 0 w 184698"/>
              <a:gd name="connsiteY2" fmla="*/ 236601 h 237769"/>
              <a:gd name="connsiteX3" fmla="*/ 184698 w 184698"/>
              <a:gd name="connsiteY3" fmla="*/ 236601 h 237769"/>
              <a:gd name="connsiteX4" fmla="*/ 184698 w 184698"/>
              <a:gd name="connsiteY4" fmla="*/ 237770 h 237769"/>
              <a:gd name="connsiteX5" fmla="*/ 184698 w 184698"/>
              <a:gd name="connsiteY5" fmla="*/ 225846 h 237769"/>
              <a:gd name="connsiteX6" fmla="*/ 0 w 184698"/>
              <a:gd name="connsiteY6" fmla="*/ 225846 h 237769"/>
              <a:gd name="connsiteX7" fmla="*/ 0 w 184698"/>
              <a:gd name="connsiteY7" fmla="*/ 227015 h 237769"/>
              <a:gd name="connsiteX8" fmla="*/ 184698 w 184698"/>
              <a:gd name="connsiteY8" fmla="*/ 227015 h 237769"/>
              <a:gd name="connsiteX9" fmla="*/ 184698 w 184698"/>
              <a:gd name="connsiteY9" fmla="*/ 225846 h 237769"/>
              <a:gd name="connsiteX10" fmla="*/ 184698 w 184698"/>
              <a:gd name="connsiteY10" fmla="*/ 215092 h 237769"/>
              <a:gd name="connsiteX11" fmla="*/ 0 w 184698"/>
              <a:gd name="connsiteY11" fmla="*/ 215092 h 237769"/>
              <a:gd name="connsiteX12" fmla="*/ 0 w 184698"/>
              <a:gd name="connsiteY12" fmla="*/ 216261 h 237769"/>
              <a:gd name="connsiteX13" fmla="*/ 184698 w 184698"/>
              <a:gd name="connsiteY13" fmla="*/ 216261 h 237769"/>
              <a:gd name="connsiteX14" fmla="*/ 184698 w 184698"/>
              <a:gd name="connsiteY14" fmla="*/ 215092 h 237769"/>
              <a:gd name="connsiteX15" fmla="*/ 184698 w 184698"/>
              <a:gd name="connsiteY15" fmla="*/ 204337 h 237769"/>
              <a:gd name="connsiteX16" fmla="*/ 0 w 184698"/>
              <a:gd name="connsiteY16" fmla="*/ 204337 h 237769"/>
              <a:gd name="connsiteX17" fmla="*/ 0 w 184698"/>
              <a:gd name="connsiteY17" fmla="*/ 205506 h 237769"/>
              <a:gd name="connsiteX18" fmla="*/ 184698 w 184698"/>
              <a:gd name="connsiteY18" fmla="*/ 205506 h 237769"/>
              <a:gd name="connsiteX19" fmla="*/ 184698 w 184698"/>
              <a:gd name="connsiteY19" fmla="*/ 204337 h 237769"/>
              <a:gd name="connsiteX20" fmla="*/ 184698 w 184698"/>
              <a:gd name="connsiteY20" fmla="*/ 193583 h 237769"/>
              <a:gd name="connsiteX21" fmla="*/ 0 w 184698"/>
              <a:gd name="connsiteY21" fmla="*/ 193583 h 237769"/>
              <a:gd name="connsiteX22" fmla="*/ 0 w 184698"/>
              <a:gd name="connsiteY22" fmla="*/ 194752 h 237769"/>
              <a:gd name="connsiteX23" fmla="*/ 184698 w 184698"/>
              <a:gd name="connsiteY23" fmla="*/ 194752 h 237769"/>
              <a:gd name="connsiteX24" fmla="*/ 184698 w 184698"/>
              <a:gd name="connsiteY24" fmla="*/ 193583 h 237769"/>
              <a:gd name="connsiteX25" fmla="*/ 184698 w 184698"/>
              <a:gd name="connsiteY25" fmla="*/ 182828 h 237769"/>
              <a:gd name="connsiteX26" fmla="*/ 0 w 184698"/>
              <a:gd name="connsiteY26" fmla="*/ 182828 h 237769"/>
              <a:gd name="connsiteX27" fmla="*/ 0 w 184698"/>
              <a:gd name="connsiteY27" fmla="*/ 183997 h 237769"/>
              <a:gd name="connsiteX28" fmla="*/ 184698 w 184698"/>
              <a:gd name="connsiteY28" fmla="*/ 183997 h 237769"/>
              <a:gd name="connsiteX29" fmla="*/ 184698 w 184698"/>
              <a:gd name="connsiteY29" fmla="*/ 182828 h 237769"/>
              <a:gd name="connsiteX30" fmla="*/ 184698 w 184698"/>
              <a:gd name="connsiteY30" fmla="*/ 172073 h 237769"/>
              <a:gd name="connsiteX31" fmla="*/ 0 w 184698"/>
              <a:gd name="connsiteY31" fmla="*/ 172073 h 237769"/>
              <a:gd name="connsiteX32" fmla="*/ 0 w 184698"/>
              <a:gd name="connsiteY32" fmla="*/ 173242 h 237769"/>
              <a:gd name="connsiteX33" fmla="*/ 184698 w 184698"/>
              <a:gd name="connsiteY33" fmla="*/ 173242 h 237769"/>
              <a:gd name="connsiteX34" fmla="*/ 184698 w 184698"/>
              <a:gd name="connsiteY34" fmla="*/ 172073 h 237769"/>
              <a:gd name="connsiteX35" fmla="*/ 184698 w 184698"/>
              <a:gd name="connsiteY35" fmla="*/ 161319 h 237769"/>
              <a:gd name="connsiteX36" fmla="*/ 0 w 184698"/>
              <a:gd name="connsiteY36" fmla="*/ 161319 h 237769"/>
              <a:gd name="connsiteX37" fmla="*/ 0 w 184698"/>
              <a:gd name="connsiteY37" fmla="*/ 162488 h 237769"/>
              <a:gd name="connsiteX38" fmla="*/ 184698 w 184698"/>
              <a:gd name="connsiteY38" fmla="*/ 162488 h 237769"/>
              <a:gd name="connsiteX39" fmla="*/ 184698 w 184698"/>
              <a:gd name="connsiteY39" fmla="*/ 161319 h 237769"/>
              <a:gd name="connsiteX40" fmla="*/ 184698 w 184698"/>
              <a:gd name="connsiteY40" fmla="*/ 150564 h 237769"/>
              <a:gd name="connsiteX41" fmla="*/ 0 w 184698"/>
              <a:gd name="connsiteY41" fmla="*/ 150564 h 237769"/>
              <a:gd name="connsiteX42" fmla="*/ 0 w 184698"/>
              <a:gd name="connsiteY42" fmla="*/ 151733 h 237769"/>
              <a:gd name="connsiteX43" fmla="*/ 184698 w 184698"/>
              <a:gd name="connsiteY43" fmla="*/ 151733 h 237769"/>
              <a:gd name="connsiteX44" fmla="*/ 184698 w 184698"/>
              <a:gd name="connsiteY44" fmla="*/ 150564 h 237769"/>
              <a:gd name="connsiteX45" fmla="*/ 184698 w 184698"/>
              <a:gd name="connsiteY45" fmla="*/ 139810 h 237769"/>
              <a:gd name="connsiteX46" fmla="*/ 0 w 184698"/>
              <a:gd name="connsiteY46" fmla="*/ 139810 h 237769"/>
              <a:gd name="connsiteX47" fmla="*/ 0 w 184698"/>
              <a:gd name="connsiteY47" fmla="*/ 140979 h 237769"/>
              <a:gd name="connsiteX48" fmla="*/ 184698 w 184698"/>
              <a:gd name="connsiteY48" fmla="*/ 140979 h 237769"/>
              <a:gd name="connsiteX49" fmla="*/ 184698 w 184698"/>
              <a:gd name="connsiteY49" fmla="*/ 139810 h 237769"/>
              <a:gd name="connsiteX50" fmla="*/ 184698 w 184698"/>
              <a:gd name="connsiteY50" fmla="*/ 129055 h 237769"/>
              <a:gd name="connsiteX51" fmla="*/ 0 w 184698"/>
              <a:gd name="connsiteY51" fmla="*/ 129055 h 237769"/>
              <a:gd name="connsiteX52" fmla="*/ 0 w 184698"/>
              <a:gd name="connsiteY52" fmla="*/ 130224 h 237769"/>
              <a:gd name="connsiteX53" fmla="*/ 184698 w 184698"/>
              <a:gd name="connsiteY53" fmla="*/ 130224 h 237769"/>
              <a:gd name="connsiteX54" fmla="*/ 184698 w 184698"/>
              <a:gd name="connsiteY54" fmla="*/ 129055 h 237769"/>
              <a:gd name="connsiteX55" fmla="*/ 184698 w 184698"/>
              <a:gd name="connsiteY55" fmla="*/ 118300 h 237769"/>
              <a:gd name="connsiteX56" fmla="*/ 0 w 184698"/>
              <a:gd name="connsiteY56" fmla="*/ 118300 h 237769"/>
              <a:gd name="connsiteX57" fmla="*/ 0 w 184698"/>
              <a:gd name="connsiteY57" fmla="*/ 119469 h 237769"/>
              <a:gd name="connsiteX58" fmla="*/ 184698 w 184698"/>
              <a:gd name="connsiteY58" fmla="*/ 119469 h 237769"/>
              <a:gd name="connsiteX59" fmla="*/ 184698 w 184698"/>
              <a:gd name="connsiteY59" fmla="*/ 118300 h 237769"/>
              <a:gd name="connsiteX60" fmla="*/ 184698 w 184698"/>
              <a:gd name="connsiteY60" fmla="*/ 107546 h 237769"/>
              <a:gd name="connsiteX61" fmla="*/ 0 w 184698"/>
              <a:gd name="connsiteY61" fmla="*/ 107546 h 237769"/>
              <a:gd name="connsiteX62" fmla="*/ 0 w 184698"/>
              <a:gd name="connsiteY62" fmla="*/ 108715 h 237769"/>
              <a:gd name="connsiteX63" fmla="*/ 184698 w 184698"/>
              <a:gd name="connsiteY63" fmla="*/ 108715 h 237769"/>
              <a:gd name="connsiteX64" fmla="*/ 184698 w 184698"/>
              <a:gd name="connsiteY64" fmla="*/ 107546 h 237769"/>
              <a:gd name="connsiteX65" fmla="*/ 184698 w 184698"/>
              <a:gd name="connsiteY65" fmla="*/ 96791 h 237769"/>
              <a:gd name="connsiteX66" fmla="*/ 0 w 184698"/>
              <a:gd name="connsiteY66" fmla="*/ 96791 h 237769"/>
              <a:gd name="connsiteX67" fmla="*/ 0 w 184698"/>
              <a:gd name="connsiteY67" fmla="*/ 97960 h 237769"/>
              <a:gd name="connsiteX68" fmla="*/ 184698 w 184698"/>
              <a:gd name="connsiteY68" fmla="*/ 97960 h 237769"/>
              <a:gd name="connsiteX69" fmla="*/ 184698 w 184698"/>
              <a:gd name="connsiteY69" fmla="*/ 96791 h 237769"/>
              <a:gd name="connsiteX70" fmla="*/ 184698 w 184698"/>
              <a:gd name="connsiteY70" fmla="*/ 86037 h 237769"/>
              <a:gd name="connsiteX71" fmla="*/ 0 w 184698"/>
              <a:gd name="connsiteY71" fmla="*/ 86037 h 237769"/>
              <a:gd name="connsiteX72" fmla="*/ 0 w 184698"/>
              <a:gd name="connsiteY72" fmla="*/ 87206 h 237769"/>
              <a:gd name="connsiteX73" fmla="*/ 184698 w 184698"/>
              <a:gd name="connsiteY73" fmla="*/ 87206 h 237769"/>
              <a:gd name="connsiteX74" fmla="*/ 184698 w 184698"/>
              <a:gd name="connsiteY74" fmla="*/ 86037 h 237769"/>
              <a:gd name="connsiteX75" fmla="*/ 184698 w 184698"/>
              <a:gd name="connsiteY75" fmla="*/ 75282 h 237769"/>
              <a:gd name="connsiteX76" fmla="*/ 0 w 184698"/>
              <a:gd name="connsiteY76" fmla="*/ 75282 h 237769"/>
              <a:gd name="connsiteX77" fmla="*/ 0 w 184698"/>
              <a:gd name="connsiteY77" fmla="*/ 76451 h 237769"/>
              <a:gd name="connsiteX78" fmla="*/ 184698 w 184698"/>
              <a:gd name="connsiteY78" fmla="*/ 76451 h 237769"/>
              <a:gd name="connsiteX79" fmla="*/ 184698 w 184698"/>
              <a:gd name="connsiteY79" fmla="*/ 75282 h 237769"/>
              <a:gd name="connsiteX80" fmla="*/ 184698 w 184698"/>
              <a:gd name="connsiteY80" fmla="*/ 64528 h 237769"/>
              <a:gd name="connsiteX81" fmla="*/ 0 w 184698"/>
              <a:gd name="connsiteY81" fmla="*/ 64528 h 237769"/>
              <a:gd name="connsiteX82" fmla="*/ 0 w 184698"/>
              <a:gd name="connsiteY82" fmla="*/ 65697 h 237769"/>
              <a:gd name="connsiteX83" fmla="*/ 184698 w 184698"/>
              <a:gd name="connsiteY83" fmla="*/ 65697 h 237769"/>
              <a:gd name="connsiteX84" fmla="*/ 184698 w 184698"/>
              <a:gd name="connsiteY84" fmla="*/ 64528 h 237769"/>
              <a:gd name="connsiteX85" fmla="*/ 184698 w 184698"/>
              <a:gd name="connsiteY85" fmla="*/ 53773 h 237769"/>
              <a:gd name="connsiteX86" fmla="*/ 0 w 184698"/>
              <a:gd name="connsiteY86" fmla="*/ 53773 h 237769"/>
              <a:gd name="connsiteX87" fmla="*/ 0 w 184698"/>
              <a:gd name="connsiteY87" fmla="*/ 54942 h 237769"/>
              <a:gd name="connsiteX88" fmla="*/ 184698 w 184698"/>
              <a:gd name="connsiteY88" fmla="*/ 54942 h 237769"/>
              <a:gd name="connsiteX89" fmla="*/ 184698 w 184698"/>
              <a:gd name="connsiteY89" fmla="*/ 53773 h 237769"/>
              <a:gd name="connsiteX90" fmla="*/ 184698 w 184698"/>
              <a:gd name="connsiteY90" fmla="*/ 43018 h 237769"/>
              <a:gd name="connsiteX91" fmla="*/ 0 w 184698"/>
              <a:gd name="connsiteY91" fmla="*/ 43018 h 237769"/>
              <a:gd name="connsiteX92" fmla="*/ 0 w 184698"/>
              <a:gd name="connsiteY92" fmla="*/ 44187 h 237769"/>
              <a:gd name="connsiteX93" fmla="*/ 184698 w 184698"/>
              <a:gd name="connsiteY93" fmla="*/ 44187 h 237769"/>
              <a:gd name="connsiteX94" fmla="*/ 184698 w 184698"/>
              <a:gd name="connsiteY94" fmla="*/ 43018 h 237769"/>
              <a:gd name="connsiteX95" fmla="*/ 184698 w 184698"/>
              <a:gd name="connsiteY95" fmla="*/ 32264 h 237769"/>
              <a:gd name="connsiteX96" fmla="*/ 0 w 184698"/>
              <a:gd name="connsiteY96" fmla="*/ 32264 h 237769"/>
              <a:gd name="connsiteX97" fmla="*/ 0 w 184698"/>
              <a:gd name="connsiteY97" fmla="*/ 33433 h 237769"/>
              <a:gd name="connsiteX98" fmla="*/ 184698 w 184698"/>
              <a:gd name="connsiteY98" fmla="*/ 33433 h 237769"/>
              <a:gd name="connsiteX99" fmla="*/ 184698 w 184698"/>
              <a:gd name="connsiteY99" fmla="*/ 32264 h 237769"/>
              <a:gd name="connsiteX100" fmla="*/ 184698 w 184698"/>
              <a:gd name="connsiteY100" fmla="*/ 21509 h 237769"/>
              <a:gd name="connsiteX101" fmla="*/ 0 w 184698"/>
              <a:gd name="connsiteY101" fmla="*/ 21509 h 237769"/>
              <a:gd name="connsiteX102" fmla="*/ 0 w 184698"/>
              <a:gd name="connsiteY102" fmla="*/ 22678 h 237769"/>
              <a:gd name="connsiteX103" fmla="*/ 184698 w 184698"/>
              <a:gd name="connsiteY103" fmla="*/ 22678 h 237769"/>
              <a:gd name="connsiteX104" fmla="*/ 184698 w 184698"/>
              <a:gd name="connsiteY104" fmla="*/ 21509 h 237769"/>
              <a:gd name="connsiteX105" fmla="*/ 184698 w 184698"/>
              <a:gd name="connsiteY105" fmla="*/ 10755 h 237769"/>
              <a:gd name="connsiteX106" fmla="*/ 0 w 184698"/>
              <a:gd name="connsiteY106" fmla="*/ 10755 h 237769"/>
              <a:gd name="connsiteX107" fmla="*/ 0 w 184698"/>
              <a:gd name="connsiteY107" fmla="*/ 11924 h 237769"/>
              <a:gd name="connsiteX108" fmla="*/ 184698 w 184698"/>
              <a:gd name="connsiteY108" fmla="*/ 11924 h 237769"/>
              <a:gd name="connsiteX109" fmla="*/ 184698 w 184698"/>
              <a:gd name="connsiteY109" fmla="*/ 10755 h 237769"/>
              <a:gd name="connsiteX110" fmla="*/ 184698 w 184698"/>
              <a:gd name="connsiteY110" fmla="*/ 0 h 237769"/>
              <a:gd name="connsiteX111" fmla="*/ 0 w 184698"/>
              <a:gd name="connsiteY111" fmla="*/ 0 h 237769"/>
              <a:gd name="connsiteX112" fmla="*/ 0 w 184698"/>
              <a:gd name="connsiteY112" fmla="*/ 1169 h 237769"/>
              <a:gd name="connsiteX113" fmla="*/ 184698 w 184698"/>
              <a:gd name="connsiteY113" fmla="*/ 1169 h 237769"/>
              <a:gd name="connsiteX114" fmla="*/ 184698 w 184698"/>
              <a:gd name="connsiteY114" fmla="*/ 0 h 2377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Lst>
            <a:rect l="l" t="t" r="r" b="b"/>
            <a:pathLst>
              <a:path w="184698" h="237769">
                <a:moveTo>
                  <a:pt x="184698" y="237770"/>
                </a:moveTo>
                <a:lnTo>
                  <a:pt x="0" y="237770"/>
                </a:lnTo>
                <a:lnTo>
                  <a:pt x="0" y="236601"/>
                </a:lnTo>
                <a:lnTo>
                  <a:pt x="184698" y="236601"/>
                </a:lnTo>
                <a:lnTo>
                  <a:pt x="184698" y="237770"/>
                </a:lnTo>
                <a:close/>
                <a:moveTo>
                  <a:pt x="184698" y="225846"/>
                </a:moveTo>
                <a:lnTo>
                  <a:pt x="0" y="225846"/>
                </a:lnTo>
                <a:lnTo>
                  <a:pt x="0" y="227015"/>
                </a:lnTo>
                <a:lnTo>
                  <a:pt x="184698" y="227015"/>
                </a:lnTo>
                <a:lnTo>
                  <a:pt x="184698" y="225846"/>
                </a:lnTo>
                <a:close/>
                <a:moveTo>
                  <a:pt x="184698" y="215092"/>
                </a:moveTo>
                <a:lnTo>
                  <a:pt x="0" y="215092"/>
                </a:lnTo>
                <a:lnTo>
                  <a:pt x="0" y="216261"/>
                </a:lnTo>
                <a:lnTo>
                  <a:pt x="184698" y="216261"/>
                </a:lnTo>
                <a:lnTo>
                  <a:pt x="184698" y="215092"/>
                </a:lnTo>
                <a:close/>
                <a:moveTo>
                  <a:pt x="184698" y="204337"/>
                </a:moveTo>
                <a:lnTo>
                  <a:pt x="0" y="204337"/>
                </a:lnTo>
                <a:lnTo>
                  <a:pt x="0" y="205506"/>
                </a:lnTo>
                <a:lnTo>
                  <a:pt x="184698" y="205506"/>
                </a:lnTo>
                <a:lnTo>
                  <a:pt x="184698" y="204337"/>
                </a:lnTo>
                <a:close/>
                <a:moveTo>
                  <a:pt x="184698" y="193583"/>
                </a:moveTo>
                <a:lnTo>
                  <a:pt x="0" y="193583"/>
                </a:lnTo>
                <a:lnTo>
                  <a:pt x="0" y="194752"/>
                </a:lnTo>
                <a:lnTo>
                  <a:pt x="184698" y="194752"/>
                </a:lnTo>
                <a:lnTo>
                  <a:pt x="184698" y="193583"/>
                </a:lnTo>
                <a:close/>
                <a:moveTo>
                  <a:pt x="184698" y="182828"/>
                </a:moveTo>
                <a:lnTo>
                  <a:pt x="0" y="182828"/>
                </a:lnTo>
                <a:lnTo>
                  <a:pt x="0" y="183997"/>
                </a:lnTo>
                <a:lnTo>
                  <a:pt x="184698" y="183997"/>
                </a:lnTo>
                <a:lnTo>
                  <a:pt x="184698" y="182828"/>
                </a:lnTo>
                <a:close/>
                <a:moveTo>
                  <a:pt x="184698" y="172073"/>
                </a:moveTo>
                <a:lnTo>
                  <a:pt x="0" y="172073"/>
                </a:lnTo>
                <a:lnTo>
                  <a:pt x="0" y="173242"/>
                </a:lnTo>
                <a:lnTo>
                  <a:pt x="184698" y="173242"/>
                </a:lnTo>
                <a:lnTo>
                  <a:pt x="184698" y="172073"/>
                </a:lnTo>
                <a:close/>
                <a:moveTo>
                  <a:pt x="184698" y="161319"/>
                </a:moveTo>
                <a:lnTo>
                  <a:pt x="0" y="161319"/>
                </a:lnTo>
                <a:lnTo>
                  <a:pt x="0" y="162488"/>
                </a:lnTo>
                <a:lnTo>
                  <a:pt x="184698" y="162488"/>
                </a:lnTo>
                <a:lnTo>
                  <a:pt x="184698" y="161319"/>
                </a:lnTo>
                <a:close/>
                <a:moveTo>
                  <a:pt x="184698" y="150564"/>
                </a:moveTo>
                <a:lnTo>
                  <a:pt x="0" y="150564"/>
                </a:lnTo>
                <a:lnTo>
                  <a:pt x="0" y="151733"/>
                </a:lnTo>
                <a:lnTo>
                  <a:pt x="184698" y="151733"/>
                </a:lnTo>
                <a:lnTo>
                  <a:pt x="184698" y="150564"/>
                </a:lnTo>
                <a:close/>
                <a:moveTo>
                  <a:pt x="184698" y="139810"/>
                </a:moveTo>
                <a:lnTo>
                  <a:pt x="0" y="139810"/>
                </a:lnTo>
                <a:lnTo>
                  <a:pt x="0" y="140979"/>
                </a:lnTo>
                <a:lnTo>
                  <a:pt x="184698" y="140979"/>
                </a:lnTo>
                <a:lnTo>
                  <a:pt x="184698" y="139810"/>
                </a:lnTo>
                <a:close/>
                <a:moveTo>
                  <a:pt x="184698" y="129055"/>
                </a:moveTo>
                <a:lnTo>
                  <a:pt x="0" y="129055"/>
                </a:lnTo>
                <a:lnTo>
                  <a:pt x="0" y="130224"/>
                </a:lnTo>
                <a:lnTo>
                  <a:pt x="184698" y="130224"/>
                </a:lnTo>
                <a:lnTo>
                  <a:pt x="184698" y="129055"/>
                </a:lnTo>
                <a:close/>
                <a:moveTo>
                  <a:pt x="184698" y="118300"/>
                </a:moveTo>
                <a:lnTo>
                  <a:pt x="0" y="118300"/>
                </a:lnTo>
                <a:lnTo>
                  <a:pt x="0" y="119469"/>
                </a:lnTo>
                <a:lnTo>
                  <a:pt x="184698" y="119469"/>
                </a:lnTo>
                <a:lnTo>
                  <a:pt x="184698" y="118300"/>
                </a:lnTo>
                <a:close/>
                <a:moveTo>
                  <a:pt x="184698" y="107546"/>
                </a:moveTo>
                <a:lnTo>
                  <a:pt x="0" y="107546"/>
                </a:lnTo>
                <a:lnTo>
                  <a:pt x="0" y="108715"/>
                </a:lnTo>
                <a:lnTo>
                  <a:pt x="184698" y="108715"/>
                </a:lnTo>
                <a:lnTo>
                  <a:pt x="184698" y="107546"/>
                </a:lnTo>
                <a:close/>
                <a:moveTo>
                  <a:pt x="184698" y="96791"/>
                </a:moveTo>
                <a:lnTo>
                  <a:pt x="0" y="96791"/>
                </a:lnTo>
                <a:lnTo>
                  <a:pt x="0" y="97960"/>
                </a:lnTo>
                <a:lnTo>
                  <a:pt x="184698" y="97960"/>
                </a:lnTo>
                <a:lnTo>
                  <a:pt x="184698" y="96791"/>
                </a:lnTo>
                <a:close/>
                <a:moveTo>
                  <a:pt x="184698" y="86037"/>
                </a:moveTo>
                <a:lnTo>
                  <a:pt x="0" y="86037"/>
                </a:lnTo>
                <a:lnTo>
                  <a:pt x="0" y="87206"/>
                </a:lnTo>
                <a:lnTo>
                  <a:pt x="184698" y="87206"/>
                </a:lnTo>
                <a:lnTo>
                  <a:pt x="184698" y="86037"/>
                </a:lnTo>
                <a:close/>
                <a:moveTo>
                  <a:pt x="184698" y="75282"/>
                </a:moveTo>
                <a:lnTo>
                  <a:pt x="0" y="75282"/>
                </a:lnTo>
                <a:lnTo>
                  <a:pt x="0" y="76451"/>
                </a:lnTo>
                <a:lnTo>
                  <a:pt x="184698" y="76451"/>
                </a:lnTo>
                <a:lnTo>
                  <a:pt x="184698" y="75282"/>
                </a:lnTo>
                <a:close/>
                <a:moveTo>
                  <a:pt x="184698" y="64528"/>
                </a:moveTo>
                <a:lnTo>
                  <a:pt x="0" y="64528"/>
                </a:lnTo>
                <a:lnTo>
                  <a:pt x="0" y="65697"/>
                </a:lnTo>
                <a:lnTo>
                  <a:pt x="184698" y="65697"/>
                </a:lnTo>
                <a:lnTo>
                  <a:pt x="184698" y="64528"/>
                </a:lnTo>
                <a:close/>
                <a:moveTo>
                  <a:pt x="184698" y="53773"/>
                </a:moveTo>
                <a:lnTo>
                  <a:pt x="0" y="53773"/>
                </a:lnTo>
                <a:lnTo>
                  <a:pt x="0" y="54942"/>
                </a:lnTo>
                <a:lnTo>
                  <a:pt x="184698" y="54942"/>
                </a:lnTo>
                <a:lnTo>
                  <a:pt x="184698" y="53773"/>
                </a:lnTo>
                <a:close/>
                <a:moveTo>
                  <a:pt x="184698" y="43018"/>
                </a:moveTo>
                <a:lnTo>
                  <a:pt x="0" y="43018"/>
                </a:lnTo>
                <a:lnTo>
                  <a:pt x="0" y="44187"/>
                </a:lnTo>
                <a:lnTo>
                  <a:pt x="184698" y="44187"/>
                </a:lnTo>
                <a:lnTo>
                  <a:pt x="184698" y="43018"/>
                </a:lnTo>
                <a:close/>
                <a:moveTo>
                  <a:pt x="184698" y="32264"/>
                </a:moveTo>
                <a:lnTo>
                  <a:pt x="0" y="32264"/>
                </a:lnTo>
                <a:lnTo>
                  <a:pt x="0" y="33433"/>
                </a:lnTo>
                <a:lnTo>
                  <a:pt x="184698" y="33433"/>
                </a:lnTo>
                <a:lnTo>
                  <a:pt x="184698" y="32264"/>
                </a:lnTo>
                <a:close/>
                <a:moveTo>
                  <a:pt x="184698" y="21509"/>
                </a:moveTo>
                <a:lnTo>
                  <a:pt x="0" y="21509"/>
                </a:lnTo>
                <a:lnTo>
                  <a:pt x="0" y="22678"/>
                </a:lnTo>
                <a:lnTo>
                  <a:pt x="184698" y="22678"/>
                </a:lnTo>
                <a:lnTo>
                  <a:pt x="184698" y="21509"/>
                </a:lnTo>
                <a:close/>
                <a:moveTo>
                  <a:pt x="184698" y="10755"/>
                </a:moveTo>
                <a:lnTo>
                  <a:pt x="0" y="10755"/>
                </a:lnTo>
                <a:lnTo>
                  <a:pt x="0" y="11924"/>
                </a:lnTo>
                <a:lnTo>
                  <a:pt x="184698" y="11924"/>
                </a:lnTo>
                <a:lnTo>
                  <a:pt x="184698" y="10755"/>
                </a:lnTo>
                <a:close/>
                <a:moveTo>
                  <a:pt x="184698" y="0"/>
                </a:moveTo>
                <a:lnTo>
                  <a:pt x="0" y="0"/>
                </a:lnTo>
                <a:lnTo>
                  <a:pt x="0" y="1169"/>
                </a:lnTo>
                <a:lnTo>
                  <a:pt x="184698" y="1169"/>
                </a:lnTo>
                <a:lnTo>
                  <a:pt x="184698" y="0"/>
                </a:lnTo>
                <a:close/>
              </a:path>
            </a:pathLst>
          </a:custGeom>
          <a:solidFill>
            <a:schemeClr val="accent3"/>
          </a:solidFill>
          <a:ln w="1161" cap="flat">
            <a:noFill/>
            <a:prstDash val="solid"/>
            <a:miter/>
          </a:ln>
        </xdr:spPr>
        <xdr:txBody>
          <a:bodyPr rtlCol="0" anchor="ctr"/>
          <a:lstStyle/>
          <a:p>
            <a:endParaRPr lang="en-US"/>
          </a:p>
        </xdr:txBody>
      </xdr:sp>
    </xdr:grpSp>
    <xdr:clientData/>
  </xdr:twoCellAnchor>
  <xdr:twoCellAnchor>
    <xdr:from>
      <xdr:col>8</xdr:col>
      <xdr:colOff>345900</xdr:colOff>
      <xdr:row>1</xdr:row>
      <xdr:rowOff>474959</xdr:rowOff>
    </xdr:from>
    <xdr:to>
      <xdr:col>8</xdr:col>
      <xdr:colOff>549593</xdr:colOff>
      <xdr:row>1</xdr:row>
      <xdr:rowOff>566384</xdr:rowOff>
    </xdr:to>
    <xdr:grpSp>
      <xdr:nvGrpSpPr>
        <xdr:cNvPr id="206" name="Graphic 53" descr="Laptop with phone and calculator">
          <a:extLst>
            <a:ext uri="{FF2B5EF4-FFF2-40B4-BE49-F238E27FC236}">
              <a16:creationId xmlns:a16="http://schemas.microsoft.com/office/drawing/2014/main" id="{73DF4821-D5AA-49A6-810E-D13D246ACF5B}"/>
            </a:ext>
          </a:extLst>
        </xdr:cNvPr>
        <xdr:cNvGrpSpPr/>
      </xdr:nvGrpSpPr>
      <xdr:grpSpPr>
        <a:xfrm rot="19634116">
          <a:off x="7859220" y="574019"/>
          <a:ext cx="203693" cy="91425"/>
          <a:chOff x="6310241" y="1169806"/>
          <a:chExt cx="256575" cy="51685"/>
        </a:xfrm>
        <a:solidFill>
          <a:schemeClr val="accent2"/>
        </a:solidFill>
      </xdr:grpSpPr>
      <xdr:sp macro="" textlink="">
        <xdr:nvSpPr>
          <xdr:cNvPr id="207" name="Freeform: Shape 206">
            <a:extLst>
              <a:ext uri="{FF2B5EF4-FFF2-40B4-BE49-F238E27FC236}">
                <a16:creationId xmlns:a16="http://schemas.microsoft.com/office/drawing/2014/main" id="{2AB4ADF5-8262-8E30-7BBB-1829B950C95F}"/>
              </a:ext>
            </a:extLst>
          </xdr:cNvPr>
          <xdr:cNvSpPr/>
        </xdr:nvSpPr>
        <xdr:spPr>
          <a:xfrm>
            <a:off x="6310241" y="1169806"/>
            <a:ext cx="256575" cy="51685"/>
          </a:xfrm>
          <a:custGeom>
            <a:avLst/>
            <a:gdLst>
              <a:gd name="connsiteX0" fmla="*/ 233557 w 256575"/>
              <a:gd name="connsiteY0" fmla="*/ 16124 h 51685"/>
              <a:gd name="connsiteX1" fmla="*/ 2482 w 256575"/>
              <a:gd name="connsiteY1" fmla="*/ 51685 h 51685"/>
              <a:gd name="connsiteX2" fmla="*/ 0 w 256575"/>
              <a:gd name="connsiteY2" fmla="*/ 35561 h 51685"/>
              <a:gd name="connsiteX3" fmla="*/ 231075 w 256575"/>
              <a:gd name="connsiteY3" fmla="*/ 0 h 51685"/>
              <a:gd name="connsiteX4" fmla="*/ 256575 w 256575"/>
              <a:gd name="connsiteY4" fmla="*/ 4302 h 516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6575" h="51685">
                <a:moveTo>
                  <a:pt x="233557" y="16124"/>
                </a:moveTo>
                <a:lnTo>
                  <a:pt x="2482" y="51685"/>
                </a:lnTo>
                <a:lnTo>
                  <a:pt x="0" y="35561"/>
                </a:lnTo>
                <a:lnTo>
                  <a:pt x="231075" y="0"/>
                </a:lnTo>
                <a:lnTo>
                  <a:pt x="256575" y="4302"/>
                </a:lnTo>
                <a:close/>
              </a:path>
            </a:pathLst>
          </a:custGeom>
          <a:grpFill/>
          <a:ln w="1161" cap="flat">
            <a:noFill/>
            <a:prstDash val="solid"/>
            <a:miter/>
          </a:ln>
        </xdr:spPr>
        <xdr:txBody>
          <a:bodyPr rtlCol="0" anchor="ctr"/>
          <a:lstStyle/>
          <a:p>
            <a:endParaRPr lang="en-US"/>
          </a:p>
        </xdr:txBody>
      </xdr:sp>
      <xdr:sp macro="" textlink="">
        <xdr:nvSpPr>
          <xdr:cNvPr id="208" name="Freeform: Shape 207">
            <a:extLst>
              <a:ext uri="{FF2B5EF4-FFF2-40B4-BE49-F238E27FC236}">
                <a16:creationId xmlns:a16="http://schemas.microsoft.com/office/drawing/2014/main" id="{39535002-DD74-8A4B-D9DD-40DA682B694B}"/>
              </a:ext>
            </a:extLst>
          </xdr:cNvPr>
          <xdr:cNvSpPr/>
        </xdr:nvSpPr>
        <xdr:spPr>
          <a:xfrm rot="-524900">
            <a:off x="6347068" y="1192637"/>
            <a:ext cx="142620" cy="1169"/>
          </a:xfrm>
          <a:custGeom>
            <a:avLst/>
            <a:gdLst>
              <a:gd name="connsiteX0" fmla="*/ 0 w 142620"/>
              <a:gd name="connsiteY0" fmla="*/ 0 h 1169"/>
              <a:gd name="connsiteX1" fmla="*/ 142620 w 142620"/>
              <a:gd name="connsiteY1" fmla="*/ 0 h 1169"/>
              <a:gd name="connsiteX2" fmla="*/ 142620 w 142620"/>
              <a:gd name="connsiteY2" fmla="*/ 1169 h 1169"/>
              <a:gd name="connsiteX3" fmla="*/ 0 w 142620"/>
              <a:gd name="connsiteY3" fmla="*/ 1169 h 1169"/>
            </a:gdLst>
            <a:ahLst/>
            <a:cxnLst>
              <a:cxn ang="0">
                <a:pos x="connsiteX0" y="connsiteY0"/>
              </a:cxn>
              <a:cxn ang="0">
                <a:pos x="connsiteX1" y="connsiteY1"/>
              </a:cxn>
              <a:cxn ang="0">
                <a:pos x="connsiteX2" y="connsiteY2"/>
              </a:cxn>
              <a:cxn ang="0">
                <a:pos x="connsiteX3" y="connsiteY3"/>
              </a:cxn>
            </a:cxnLst>
            <a:rect l="l" t="t" r="r" b="b"/>
            <a:pathLst>
              <a:path w="142620" h="1169">
                <a:moveTo>
                  <a:pt x="0" y="0"/>
                </a:moveTo>
                <a:lnTo>
                  <a:pt x="142620" y="0"/>
                </a:lnTo>
                <a:lnTo>
                  <a:pt x="142620" y="1169"/>
                </a:lnTo>
                <a:lnTo>
                  <a:pt x="0" y="1169"/>
                </a:lnTo>
                <a:close/>
              </a:path>
            </a:pathLst>
          </a:custGeom>
          <a:grpFill/>
          <a:ln w="1161" cap="flat">
            <a:noFill/>
            <a:prstDash val="solid"/>
            <a:miter/>
          </a:ln>
        </xdr:spPr>
        <xdr:txBody>
          <a:bodyPr rtlCol="0" anchor="ctr"/>
          <a:lstStyle/>
          <a:p>
            <a:endParaRPr lang="en-US"/>
          </a:p>
        </xdr:txBody>
      </xdr:sp>
    </xdr:grpSp>
    <xdr:clientData/>
  </xdr:twoCellAnchor>
  <xdr:twoCellAnchor>
    <xdr:from>
      <xdr:col>8</xdr:col>
      <xdr:colOff>36475</xdr:colOff>
      <xdr:row>1</xdr:row>
      <xdr:rowOff>240717</xdr:rowOff>
    </xdr:from>
    <xdr:to>
      <xdr:col>8</xdr:col>
      <xdr:colOff>317858</xdr:colOff>
      <xdr:row>1</xdr:row>
      <xdr:rowOff>688256</xdr:rowOff>
    </xdr:to>
    <xdr:grpSp>
      <xdr:nvGrpSpPr>
        <xdr:cNvPr id="209" name="Graphic 53" descr="Laptop with phone and calculator">
          <a:extLst>
            <a:ext uri="{FF2B5EF4-FFF2-40B4-BE49-F238E27FC236}">
              <a16:creationId xmlns:a16="http://schemas.microsoft.com/office/drawing/2014/main" id="{B49BDFF0-367A-45AE-B442-7DBB50A7C6EC}"/>
            </a:ext>
          </a:extLst>
        </xdr:cNvPr>
        <xdr:cNvGrpSpPr/>
      </xdr:nvGrpSpPr>
      <xdr:grpSpPr>
        <a:xfrm rot="354206">
          <a:off x="7549795" y="339777"/>
          <a:ext cx="281383" cy="447539"/>
          <a:chOff x="5869538" y="861884"/>
          <a:chExt cx="130095" cy="251449"/>
        </a:xfrm>
      </xdr:grpSpPr>
      <xdr:sp macro="" textlink="">
        <xdr:nvSpPr>
          <xdr:cNvPr id="210" name="Freeform: Shape 209">
            <a:extLst>
              <a:ext uri="{FF2B5EF4-FFF2-40B4-BE49-F238E27FC236}">
                <a16:creationId xmlns:a16="http://schemas.microsoft.com/office/drawing/2014/main" id="{F38CCBE7-E579-CF65-B844-882C27B8B4F5}"/>
              </a:ext>
            </a:extLst>
          </xdr:cNvPr>
          <xdr:cNvSpPr/>
        </xdr:nvSpPr>
        <xdr:spPr>
          <a:xfrm>
            <a:off x="5869538" y="861884"/>
            <a:ext cx="130095" cy="251449"/>
          </a:xfrm>
          <a:custGeom>
            <a:avLst/>
            <a:gdLst>
              <a:gd name="connsiteX0" fmla="*/ 120649 w 130095"/>
              <a:gd name="connsiteY0" fmla="*/ 251449 h 251449"/>
              <a:gd name="connsiteX1" fmla="*/ 9447 w 130095"/>
              <a:gd name="connsiteY1" fmla="*/ 251449 h 251449"/>
              <a:gd name="connsiteX2" fmla="*/ 0 w 130095"/>
              <a:gd name="connsiteY2" fmla="*/ 242003 h 251449"/>
              <a:gd name="connsiteX3" fmla="*/ 0 w 130095"/>
              <a:gd name="connsiteY3" fmla="*/ 9446 h 251449"/>
              <a:gd name="connsiteX4" fmla="*/ 9447 w 130095"/>
              <a:gd name="connsiteY4" fmla="*/ 0 h 251449"/>
              <a:gd name="connsiteX5" fmla="*/ 120649 w 130095"/>
              <a:gd name="connsiteY5" fmla="*/ 0 h 251449"/>
              <a:gd name="connsiteX6" fmla="*/ 130095 w 130095"/>
              <a:gd name="connsiteY6" fmla="*/ 9446 h 251449"/>
              <a:gd name="connsiteX7" fmla="*/ 130095 w 130095"/>
              <a:gd name="connsiteY7" fmla="*/ 242003 h 251449"/>
              <a:gd name="connsiteX8" fmla="*/ 120649 w 130095"/>
              <a:gd name="connsiteY8" fmla="*/ 251449 h 2514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095" h="251449">
                <a:moveTo>
                  <a:pt x="120649" y="251449"/>
                </a:moveTo>
                <a:lnTo>
                  <a:pt x="9447" y="251449"/>
                </a:lnTo>
                <a:cubicBezTo>
                  <a:pt x="4229" y="251449"/>
                  <a:pt x="0" y="247220"/>
                  <a:pt x="0" y="242003"/>
                </a:cubicBezTo>
                <a:lnTo>
                  <a:pt x="0" y="9446"/>
                </a:lnTo>
                <a:cubicBezTo>
                  <a:pt x="0" y="4229"/>
                  <a:pt x="4229" y="0"/>
                  <a:pt x="9447" y="0"/>
                </a:cubicBezTo>
                <a:lnTo>
                  <a:pt x="120649" y="0"/>
                </a:lnTo>
                <a:cubicBezTo>
                  <a:pt x="125866" y="0"/>
                  <a:pt x="130095" y="4229"/>
                  <a:pt x="130095" y="9446"/>
                </a:cubicBezTo>
                <a:lnTo>
                  <a:pt x="130095" y="242003"/>
                </a:lnTo>
                <a:cubicBezTo>
                  <a:pt x="130095" y="247220"/>
                  <a:pt x="125866" y="251449"/>
                  <a:pt x="120649" y="251449"/>
                </a:cubicBezTo>
                <a:close/>
              </a:path>
            </a:pathLst>
          </a:custGeom>
          <a:solidFill>
            <a:srgbClr val="505050"/>
          </a:solidFill>
          <a:ln w="1161" cap="flat">
            <a:noFill/>
            <a:prstDash val="solid"/>
            <a:miter/>
          </a:ln>
        </xdr:spPr>
        <xdr:txBody>
          <a:bodyPr rtlCol="0" anchor="ctr"/>
          <a:lstStyle/>
          <a:p>
            <a:endParaRPr lang="en-US"/>
          </a:p>
        </xdr:txBody>
      </xdr:sp>
      <xdr:grpSp>
        <xdr:nvGrpSpPr>
          <xdr:cNvPr id="211" name="Graphic 53" descr="Laptop with phone and calculator">
            <a:extLst>
              <a:ext uri="{FF2B5EF4-FFF2-40B4-BE49-F238E27FC236}">
                <a16:creationId xmlns:a16="http://schemas.microsoft.com/office/drawing/2014/main" id="{B240B2FE-D562-F1CE-33D2-E37121472D9B}"/>
              </a:ext>
            </a:extLst>
          </xdr:cNvPr>
          <xdr:cNvGrpSpPr/>
        </xdr:nvGrpSpPr>
        <xdr:grpSpPr>
          <a:xfrm>
            <a:off x="5884492" y="952259"/>
            <a:ext cx="101813" cy="134779"/>
            <a:chOff x="5884492" y="952259"/>
            <a:chExt cx="101813" cy="134779"/>
          </a:xfrm>
        </xdr:grpSpPr>
        <xdr:grpSp>
          <xdr:nvGrpSpPr>
            <xdr:cNvPr id="214" name="Graphic 53" descr="Laptop with phone and calculator">
              <a:extLst>
                <a:ext uri="{FF2B5EF4-FFF2-40B4-BE49-F238E27FC236}">
                  <a16:creationId xmlns:a16="http://schemas.microsoft.com/office/drawing/2014/main" id="{55545555-7DAE-0963-B0FE-32EB9D50BE2E}"/>
                </a:ext>
              </a:extLst>
            </xdr:cNvPr>
            <xdr:cNvGrpSpPr/>
          </xdr:nvGrpSpPr>
          <xdr:grpSpPr>
            <a:xfrm>
              <a:off x="5884492" y="952259"/>
              <a:ext cx="101813" cy="48803"/>
              <a:chOff x="5884492" y="952259"/>
              <a:chExt cx="101813" cy="48803"/>
            </a:xfrm>
          </xdr:grpSpPr>
          <xdr:sp macro="" textlink="">
            <xdr:nvSpPr>
              <xdr:cNvPr id="239" name="Freeform: Shape 238">
                <a:extLst>
                  <a:ext uri="{FF2B5EF4-FFF2-40B4-BE49-F238E27FC236}">
                    <a16:creationId xmlns:a16="http://schemas.microsoft.com/office/drawing/2014/main" id="{16F3FBE4-2960-E5EE-390A-AD4C0EECF694}"/>
                  </a:ext>
                </a:extLst>
              </xdr:cNvPr>
              <xdr:cNvSpPr/>
            </xdr:nvSpPr>
            <xdr:spPr>
              <a:xfrm>
                <a:off x="5884492"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0" name="Freeform: Shape 239">
                <a:extLst>
                  <a:ext uri="{FF2B5EF4-FFF2-40B4-BE49-F238E27FC236}">
                    <a16:creationId xmlns:a16="http://schemas.microsoft.com/office/drawing/2014/main" id="{EAD9859C-A4C0-F0D6-4641-77E9119A2CD1}"/>
                  </a:ext>
                </a:extLst>
              </xdr:cNvPr>
              <xdr:cNvSpPr/>
            </xdr:nvSpPr>
            <xdr:spPr>
              <a:xfrm>
                <a:off x="590655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1" name="Freeform: Shape 240">
                <a:extLst>
                  <a:ext uri="{FF2B5EF4-FFF2-40B4-BE49-F238E27FC236}">
                    <a16:creationId xmlns:a16="http://schemas.microsoft.com/office/drawing/2014/main" id="{4859AD06-026F-DD76-C4E7-8BDFCE3B878E}"/>
                  </a:ext>
                </a:extLst>
              </xdr:cNvPr>
              <xdr:cNvSpPr/>
            </xdr:nvSpPr>
            <xdr:spPr>
              <a:xfrm>
                <a:off x="588545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42" name="Freeform: Shape 241">
                <a:extLst>
                  <a:ext uri="{FF2B5EF4-FFF2-40B4-BE49-F238E27FC236}">
                    <a16:creationId xmlns:a16="http://schemas.microsoft.com/office/drawing/2014/main" id="{28E907AF-033F-8D84-54AF-34697993734F}"/>
                  </a:ext>
                </a:extLst>
              </xdr:cNvPr>
              <xdr:cNvSpPr/>
            </xdr:nvSpPr>
            <xdr:spPr>
              <a:xfrm>
                <a:off x="5907515" y="952259"/>
                <a:ext cx="9050" cy="9050"/>
              </a:xfrm>
              <a:custGeom>
                <a:avLst/>
                <a:gdLst>
                  <a:gd name="connsiteX0" fmla="*/ 9050 w 9050"/>
                  <a:gd name="connsiteY0" fmla="*/ 4525 h 9050"/>
                  <a:gd name="connsiteX1" fmla="*/ 4525 w 9050"/>
                  <a:gd name="connsiteY1" fmla="*/ 9050 h 9050"/>
                  <a:gd name="connsiteX2" fmla="*/ 0 w 9050"/>
                  <a:gd name="connsiteY2" fmla="*/ 4525 h 9050"/>
                  <a:gd name="connsiteX3" fmla="*/ 4525 w 9050"/>
                  <a:gd name="connsiteY3" fmla="*/ 0 h 9050"/>
                  <a:gd name="connsiteX4" fmla="*/ 9050 w 9050"/>
                  <a:gd name="connsiteY4" fmla="*/ 4525 h 9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050" h="9050">
                    <a:moveTo>
                      <a:pt x="9050" y="4525"/>
                    </a:moveTo>
                    <a:cubicBezTo>
                      <a:pt x="9050" y="7024"/>
                      <a:pt x="7024" y="9050"/>
                      <a:pt x="4525" y="9050"/>
                    </a:cubicBezTo>
                    <a:cubicBezTo>
                      <a:pt x="2026" y="9050"/>
                      <a:pt x="0" y="7024"/>
                      <a:pt x="0" y="4525"/>
                    </a:cubicBezTo>
                    <a:cubicBezTo>
                      <a:pt x="0" y="2026"/>
                      <a:pt x="2026" y="0"/>
                      <a:pt x="4525" y="0"/>
                    </a:cubicBezTo>
                    <a:cubicBezTo>
                      <a:pt x="7024" y="0"/>
                      <a:pt x="9050" y="2026"/>
                      <a:pt x="9050" y="4525"/>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3" name="Freeform: Shape 242">
                <a:extLst>
                  <a:ext uri="{FF2B5EF4-FFF2-40B4-BE49-F238E27FC236}">
                    <a16:creationId xmlns:a16="http://schemas.microsoft.com/office/drawing/2014/main" id="{A9318A39-ED02-CEE7-4584-BA705634F9C1}"/>
                  </a:ext>
                </a:extLst>
              </xdr:cNvPr>
              <xdr:cNvSpPr/>
            </xdr:nvSpPr>
            <xdr:spPr>
              <a:xfrm>
                <a:off x="592861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4" name="Freeform: Shape 243">
                <a:extLst>
                  <a:ext uri="{FF2B5EF4-FFF2-40B4-BE49-F238E27FC236}">
                    <a16:creationId xmlns:a16="http://schemas.microsoft.com/office/drawing/2014/main" id="{FBCAF9DC-0D28-591F-4F99-44D5ED5633D3}"/>
                  </a:ext>
                </a:extLst>
              </xdr:cNvPr>
              <xdr:cNvSpPr/>
            </xdr:nvSpPr>
            <xdr:spPr>
              <a:xfrm>
                <a:off x="595067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45" name="Freeform: Shape 244">
                <a:extLst>
                  <a:ext uri="{FF2B5EF4-FFF2-40B4-BE49-F238E27FC236}">
                    <a16:creationId xmlns:a16="http://schemas.microsoft.com/office/drawing/2014/main" id="{BCA43CEA-9FD7-0EBA-2989-B9B647DC4E8F}"/>
                  </a:ext>
                </a:extLst>
              </xdr:cNvPr>
              <xdr:cNvSpPr/>
            </xdr:nvSpPr>
            <xdr:spPr>
              <a:xfrm>
                <a:off x="5972731" y="987489"/>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grpSp>
        <xdr:grpSp>
          <xdr:nvGrpSpPr>
            <xdr:cNvPr id="215" name="Graphic 53" descr="Laptop with phone and calculator">
              <a:extLst>
                <a:ext uri="{FF2B5EF4-FFF2-40B4-BE49-F238E27FC236}">
                  <a16:creationId xmlns:a16="http://schemas.microsoft.com/office/drawing/2014/main" id="{AE001C0D-F950-67E1-E5B9-B437C98EA02E}"/>
                </a:ext>
              </a:extLst>
            </xdr:cNvPr>
            <xdr:cNvGrpSpPr/>
          </xdr:nvGrpSpPr>
          <xdr:grpSpPr>
            <a:xfrm>
              <a:off x="5884492" y="1008983"/>
              <a:ext cx="101813" cy="13574"/>
              <a:chOff x="5884492" y="1008983"/>
              <a:chExt cx="101813" cy="13574"/>
            </a:xfrm>
          </xdr:grpSpPr>
          <xdr:sp macro="" textlink="">
            <xdr:nvSpPr>
              <xdr:cNvPr id="234" name="Freeform: Shape 233">
                <a:extLst>
                  <a:ext uri="{FF2B5EF4-FFF2-40B4-BE49-F238E27FC236}">
                    <a16:creationId xmlns:a16="http://schemas.microsoft.com/office/drawing/2014/main" id="{C3447E39-D6B2-5DCE-EFE7-280AA49F107B}"/>
                  </a:ext>
                </a:extLst>
              </xdr:cNvPr>
              <xdr:cNvSpPr/>
            </xdr:nvSpPr>
            <xdr:spPr>
              <a:xfrm>
                <a:off x="5884492"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5" name="Freeform: Shape 234">
                <a:extLst>
                  <a:ext uri="{FF2B5EF4-FFF2-40B4-BE49-F238E27FC236}">
                    <a16:creationId xmlns:a16="http://schemas.microsoft.com/office/drawing/2014/main" id="{582130B9-625A-F0B2-ED15-D27183678CC3}"/>
                  </a:ext>
                </a:extLst>
              </xdr:cNvPr>
              <xdr:cNvSpPr/>
            </xdr:nvSpPr>
            <xdr:spPr>
              <a:xfrm>
                <a:off x="590655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6" name="Freeform: Shape 235">
                <a:extLst>
                  <a:ext uri="{FF2B5EF4-FFF2-40B4-BE49-F238E27FC236}">
                    <a16:creationId xmlns:a16="http://schemas.microsoft.com/office/drawing/2014/main" id="{99FF1D5C-5618-9235-E78F-D4CEE0A8D8E0}"/>
                  </a:ext>
                </a:extLst>
              </xdr:cNvPr>
              <xdr:cNvSpPr/>
            </xdr:nvSpPr>
            <xdr:spPr>
              <a:xfrm>
                <a:off x="592861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7" name="Freeform: Shape 236">
                <a:extLst>
                  <a:ext uri="{FF2B5EF4-FFF2-40B4-BE49-F238E27FC236}">
                    <a16:creationId xmlns:a16="http://schemas.microsoft.com/office/drawing/2014/main" id="{3B17AC0C-2BF3-9558-481F-047987DE5092}"/>
                  </a:ext>
                </a:extLst>
              </xdr:cNvPr>
              <xdr:cNvSpPr/>
            </xdr:nvSpPr>
            <xdr:spPr>
              <a:xfrm>
                <a:off x="595067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8" name="Freeform: Shape 237">
                <a:extLst>
                  <a:ext uri="{FF2B5EF4-FFF2-40B4-BE49-F238E27FC236}">
                    <a16:creationId xmlns:a16="http://schemas.microsoft.com/office/drawing/2014/main" id="{5E7D7A84-F824-C4C2-4307-4600383C8281}"/>
                  </a:ext>
                </a:extLst>
              </xdr:cNvPr>
              <xdr:cNvSpPr/>
            </xdr:nvSpPr>
            <xdr:spPr>
              <a:xfrm>
                <a:off x="5972731" y="1008983"/>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6" name="Graphic 53" descr="Laptop with phone and calculator">
              <a:extLst>
                <a:ext uri="{FF2B5EF4-FFF2-40B4-BE49-F238E27FC236}">
                  <a16:creationId xmlns:a16="http://schemas.microsoft.com/office/drawing/2014/main" id="{AA336B89-89E2-6C5A-B6AD-604D18FA624B}"/>
                </a:ext>
              </a:extLst>
            </xdr:cNvPr>
            <xdr:cNvGrpSpPr/>
          </xdr:nvGrpSpPr>
          <xdr:grpSpPr>
            <a:xfrm>
              <a:off x="5884492" y="1030477"/>
              <a:ext cx="101813" cy="13574"/>
              <a:chOff x="5884492" y="1030477"/>
              <a:chExt cx="101813" cy="13574"/>
            </a:xfrm>
          </xdr:grpSpPr>
          <xdr:sp macro="" textlink="">
            <xdr:nvSpPr>
              <xdr:cNvPr id="229" name="Freeform: Shape 228">
                <a:extLst>
                  <a:ext uri="{FF2B5EF4-FFF2-40B4-BE49-F238E27FC236}">
                    <a16:creationId xmlns:a16="http://schemas.microsoft.com/office/drawing/2014/main" id="{0DE99290-05F2-06C6-BD52-5FC7F065D35B}"/>
                  </a:ext>
                </a:extLst>
              </xdr:cNvPr>
              <xdr:cNvSpPr/>
            </xdr:nvSpPr>
            <xdr:spPr>
              <a:xfrm>
                <a:off x="5884492"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30" name="Freeform: Shape 229">
                <a:extLst>
                  <a:ext uri="{FF2B5EF4-FFF2-40B4-BE49-F238E27FC236}">
                    <a16:creationId xmlns:a16="http://schemas.microsoft.com/office/drawing/2014/main" id="{ABE7609A-537E-A8DA-3E52-D1CEA4F726AD}"/>
                  </a:ext>
                </a:extLst>
              </xdr:cNvPr>
              <xdr:cNvSpPr/>
            </xdr:nvSpPr>
            <xdr:spPr>
              <a:xfrm>
                <a:off x="590655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1" name="Freeform: Shape 230">
                <a:extLst>
                  <a:ext uri="{FF2B5EF4-FFF2-40B4-BE49-F238E27FC236}">
                    <a16:creationId xmlns:a16="http://schemas.microsoft.com/office/drawing/2014/main" id="{5B0EB199-3F38-0EF5-62E3-F98F5B50099C}"/>
                  </a:ext>
                </a:extLst>
              </xdr:cNvPr>
              <xdr:cNvSpPr/>
            </xdr:nvSpPr>
            <xdr:spPr>
              <a:xfrm>
                <a:off x="592861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2" name="Freeform: Shape 231">
                <a:extLst>
                  <a:ext uri="{FF2B5EF4-FFF2-40B4-BE49-F238E27FC236}">
                    <a16:creationId xmlns:a16="http://schemas.microsoft.com/office/drawing/2014/main" id="{339709E6-4BA2-1E16-FDFD-F7340ECFB2FA}"/>
                  </a:ext>
                </a:extLst>
              </xdr:cNvPr>
              <xdr:cNvSpPr/>
            </xdr:nvSpPr>
            <xdr:spPr>
              <a:xfrm>
                <a:off x="595067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33" name="Freeform: Shape 232">
                <a:extLst>
                  <a:ext uri="{FF2B5EF4-FFF2-40B4-BE49-F238E27FC236}">
                    <a16:creationId xmlns:a16="http://schemas.microsoft.com/office/drawing/2014/main" id="{29552B82-59A7-EE96-E241-EBB7BDC32411}"/>
                  </a:ext>
                </a:extLst>
              </xdr:cNvPr>
              <xdr:cNvSpPr/>
            </xdr:nvSpPr>
            <xdr:spPr>
              <a:xfrm>
                <a:off x="5972731" y="1030477"/>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7" name="Graphic 53" descr="Laptop with phone and calculator">
              <a:extLst>
                <a:ext uri="{FF2B5EF4-FFF2-40B4-BE49-F238E27FC236}">
                  <a16:creationId xmlns:a16="http://schemas.microsoft.com/office/drawing/2014/main" id="{6740EC43-2D36-847A-66C3-69CA3EB428E3}"/>
                </a:ext>
              </a:extLst>
            </xdr:cNvPr>
            <xdr:cNvGrpSpPr/>
          </xdr:nvGrpSpPr>
          <xdr:grpSpPr>
            <a:xfrm>
              <a:off x="5884492" y="1051971"/>
              <a:ext cx="101813" cy="13574"/>
              <a:chOff x="5884492" y="1051971"/>
              <a:chExt cx="101813" cy="13574"/>
            </a:xfrm>
          </xdr:grpSpPr>
          <xdr:sp macro="" textlink="">
            <xdr:nvSpPr>
              <xdr:cNvPr id="224" name="Freeform: Shape 223">
                <a:extLst>
                  <a:ext uri="{FF2B5EF4-FFF2-40B4-BE49-F238E27FC236}">
                    <a16:creationId xmlns:a16="http://schemas.microsoft.com/office/drawing/2014/main" id="{A2B0D421-BE74-2422-816E-62B278C5C697}"/>
                  </a:ext>
                </a:extLst>
              </xdr:cNvPr>
              <xdr:cNvSpPr/>
            </xdr:nvSpPr>
            <xdr:spPr>
              <a:xfrm>
                <a:off x="5884492"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5" name="Freeform: Shape 224">
                <a:extLst>
                  <a:ext uri="{FF2B5EF4-FFF2-40B4-BE49-F238E27FC236}">
                    <a16:creationId xmlns:a16="http://schemas.microsoft.com/office/drawing/2014/main" id="{E5DDA49D-0642-E0AB-9C88-42F4882CBAC5}"/>
                  </a:ext>
                </a:extLst>
              </xdr:cNvPr>
              <xdr:cNvSpPr/>
            </xdr:nvSpPr>
            <xdr:spPr>
              <a:xfrm>
                <a:off x="590655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6" name="Freeform: Shape 225">
                <a:extLst>
                  <a:ext uri="{FF2B5EF4-FFF2-40B4-BE49-F238E27FC236}">
                    <a16:creationId xmlns:a16="http://schemas.microsoft.com/office/drawing/2014/main" id="{94E99D6A-6051-D13D-3792-7628488E3359}"/>
                  </a:ext>
                </a:extLst>
              </xdr:cNvPr>
              <xdr:cNvSpPr/>
            </xdr:nvSpPr>
            <xdr:spPr>
              <a:xfrm>
                <a:off x="592861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7" name="Freeform: Shape 226">
                <a:extLst>
                  <a:ext uri="{FF2B5EF4-FFF2-40B4-BE49-F238E27FC236}">
                    <a16:creationId xmlns:a16="http://schemas.microsoft.com/office/drawing/2014/main" id="{CD4CC504-E02D-E2D0-D2FD-8AF85E49A5A7}"/>
                  </a:ext>
                </a:extLst>
              </xdr:cNvPr>
              <xdr:cNvSpPr/>
            </xdr:nvSpPr>
            <xdr:spPr>
              <a:xfrm>
                <a:off x="595067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8" name="Freeform: Shape 227">
                <a:extLst>
                  <a:ext uri="{FF2B5EF4-FFF2-40B4-BE49-F238E27FC236}">
                    <a16:creationId xmlns:a16="http://schemas.microsoft.com/office/drawing/2014/main" id="{5538F520-8BD1-1722-90D3-46DBA0A0C8F4}"/>
                  </a:ext>
                </a:extLst>
              </xdr:cNvPr>
              <xdr:cNvSpPr/>
            </xdr:nvSpPr>
            <xdr:spPr>
              <a:xfrm>
                <a:off x="5972731" y="1051971"/>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nvGrpSpPr>
            <xdr:cNvPr id="218" name="Graphic 53" descr="Laptop with phone and calculator">
              <a:extLst>
                <a:ext uri="{FF2B5EF4-FFF2-40B4-BE49-F238E27FC236}">
                  <a16:creationId xmlns:a16="http://schemas.microsoft.com/office/drawing/2014/main" id="{87CF7BD3-4437-34A8-8336-C61A7D1ED114}"/>
                </a:ext>
              </a:extLst>
            </xdr:cNvPr>
            <xdr:cNvGrpSpPr/>
          </xdr:nvGrpSpPr>
          <xdr:grpSpPr>
            <a:xfrm>
              <a:off x="5884492" y="1073465"/>
              <a:ext cx="101813" cy="13574"/>
              <a:chOff x="5884492" y="1073465"/>
              <a:chExt cx="101813" cy="13574"/>
            </a:xfrm>
          </xdr:grpSpPr>
          <xdr:sp macro="" textlink="">
            <xdr:nvSpPr>
              <xdr:cNvPr id="219" name="Freeform: Shape 218">
                <a:extLst>
                  <a:ext uri="{FF2B5EF4-FFF2-40B4-BE49-F238E27FC236}">
                    <a16:creationId xmlns:a16="http://schemas.microsoft.com/office/drawing/2014/main" id="{A0B43867-FFD0-D33D-9A1F-34137E3ACC82}"/>
                  </a:ext>
                </a:extLst>
              </xdr:cNvPr>
              <xdr:cNvSpPr/>
            </xdr:nvSpPr>
            <xdr:spPr>
              <a:xfrm>
                <a:off x="5884492"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0" name="Freeform: Shape 219">
                <a:extLst>
                  <a:ext uri="{FF2B5EF4-FFF2-40B4-BE49-F238E27FC236}">
                    <a16:creationId xmlns:a16="http://schemas.microsoft.com/office/drawing/2014/main" id="{23F457D7-A962-11EC-4855-04CF32B2A9A5}"/>
                  </a:ext>
                </a:extLst>
              </xdr:cNvPr>
              <xdr:cNvSpPr/>
            </xdr:nvSpPr>
            <xdr:spPr>
              <a:xfrm>
                <a:off x="590655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737373"/>
              </a:solidFill>
              <a:ln w="1161" cap="flat">
                <a:noFill/>
                <a:prstDash val="solid"/>
                <a:miter/>
              </a:ln>
            </xdr:spPr>
            <xdr:txBody>
              <a:bodyPr rtlCol="0" anchor="ctr"/>
              <a:lstStyle/>
              <a:p>
                <a:endParaRPr lang="en-US"/>
              </a:p>
            </xdr:txBody>
          </xdr:sp>
          <xdr:sp macro="" textlink="">
            <xdr:nvSpPr>
              <xdr:cNvPr id="221" name="Freeform: Shape 220">
                <a:extLst>
                  <a:ext uri="{FF2B5EF4-FFF2-40B4-BE49-F238E27FC236}">
                    <a16:creationId xmlns:a16="http://schemas.microsoft.com/office/drawing/2014/main" id="{3EC44CD4-8BDD-78B0-33E8-69186E70679E}"/>
                  </a:ext>
                </a:extLst>
              </xdr:cNvPr>
              <xdr:cNvSpPr/>
            </xdr:nvSpPr>
            <xdr:spPr>
              <a:xfrm>
                <a:off x="592861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sp macro="" textlink="">
            <xdr:nvSpPr>
              <xdr:cNvPr id="222" name="Freeform: Shape 221">
                <a:extLst>
                  <a:ext uri="{FF2B5EF4-FFF2-40B4-BE49-F238E27FC236}">
                    <a16:creationId xmlns:a16="http://schemas.microsoft.com/office/drawing/2014/main" id="{7E5DBF0C-5426-C3B0-003A-D41809656A14}"/>
                  </a:ext>
                </a:extLst>
              </xdr:cNvPr>
              <xdr:cNvSpPr/>
            </xdr:nvSpPr>
            <xdr:spPr>
              <a:xfrm>
                <a:off x="595067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chemeClr val="accent2"/>
              </a:solidFill>
              <a:ln w="1161" cap="flat">
                <a:noFill/>
                <a:prstDash val="solid"/>
                <a:miter/>
              </a:ln>
            </xdr:spPr>
            <xdr:txBody>
              <a:bodyPr rtlCol="0" anchor="ctr"/>
              <a:lstStyle/>
              <a:p>
                <a:endParaRPr lang="en-US"/>
              </a:p>
            </xdr:txBody>
          </xdr:sp>
          <xdr:sp macro="" textlink="">
            <xdr:nvSpPr>
              <xdr:cNvPr id="223" name="Freeform: Shape 222">
                <a:extLst>
                  <a:ext uri="{FF2B5EF4-FFF2-40B4-BE49-F238E27FC236}">
                    <a16:creationId xmlns:a16="http://schemas.microsoft.com/office/drawing/2014/main" id="{B79A4431-2AD0-83F2-B603-0FCB1164B2CA}"/>
                  </a:ext>
                </a:extLst>
              </xdr:cNvPr>
              <xdr:cNvSpPr/>
            </xdr:nvSpPr>
            <xdr:spPr>
              <a:xfrm>
                <a:off x="5972731" y="1073465"/>
                <a:ext cx="13574" cy="13574"/>
              </a:xfrm>
              <a:custGeom>
                <a:avLst/>
                <a:gdLst>
                  <a:gd name="connsiteX0" fmla="*/ 13574 w 13574"/>
                  <a:gd name="connsiteY0" fmla="*/ 6787 h 13574"/>
                  <a:gd name="connsiteX1" fmla="*/ 6787 w 13574"/>
                  <a:gd name="connsiteY1" fmla="*/ 13574 h 13574"/>
                  <a:gd name="connsiteX2" fmla="*/ 0 w 13574"/>
                  <a:gd name="connsiteY2" fmla="*/ 6787 h 13574"/>
                  <a:gd name="connsiteX3" fmla="*/ 6787 w 13574"/>
                  <a:gd name="connsiteY3" fmla="*/ 0 h 13574"/>
                  <a:gd name="connsiteX4" fmla="*/ 13574 w 13574"/>
                  <a:gd name="connsiteY4" fmla="*/ 6787 h 1357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574" h="13574">
                    <a:moveTo>
                      <a:pt x="13574" y="6787"/>
                    </a:moveTo>
                    <a:cubicBezTo>
                      <a:pt x="13574" y="10535"/>
                      <a:pt x="10535" y="13574"/>
                      <a:pt x="6787" y="13574"/>
                    </a:cubicBezTo>
                    <a:cubicBezTo>
                      <a:pt x="3039" y="13574"/>
                      <a:pt x="0" y="10536"/>
                      <a:pt x="0" y="6787"/>
                    </a:cubicBezTo>
                    <a:cubicBezTo>
                      <a:pt x="0" y="3039"/>
                      <a:pt x="3039" y="0"/>
                      <a:pt x="6787" y="0"/>
                    </a:cubicBezTo>
                    <a:cubicBezTo>
                      <a:pt x="10535" y="0"/>
                      <a:pt x="13574" y="3039"/>
                      <a:pt x="13574" y="6787"/>
                    </a:cubicBezTo>
                    <a:close/>
                  </a:path>
                </a:pathLst>
              </a:custGeom>
              <a:solidFill>
                <a:srgbClr val="CFCFCF"/>
              </a:solidFill>
              <a:ln w="1161" cap="flat">
                <a:noFill/>
                <a:prstDash val="solid"/>
                <a:miter/>
              </a:ln>
            </xdr:spPr>
            <xdr:txBody>
              <a:bodyPr rtlCol="0" anchor="ctr"/>
              <a:lstStyle/>
              <a:p>
                <a:endParaRPr lang="en-US"/>
              </a:p>
            </xdr:txBody>
          </xdr:sp>
        </xdr:grpSp>
      </xdr:grpSp>
      <xdr:sp macro="" textlink="">
        <xdr:nvSpPr>
          <xdr:cNvPr id="212" name="Freeform: Shape 211">
            <a:extLst>
              <a:ext uri="{FF2B5EF4-FFF2-40B4-BE49-F238E27FC236}">
                <a16:creationId xmlns:a16="http://schemas.microsoft.com/office/drawing/2014/main" id="{AA7C43CE-FC36-3F9B-303A-C21E9D1511C9}"/>
              </a:ext>
            </a:extLst>
          </xdr:cNvPr>
          <xdr:cNvSpPr/>
        </xdr:nvSpPr>
        <xdr:spPr>
          <a:xfrm>
            <a:off x="5881280" y="897194"/>
            <a:ext cx="108601" cy="39091"/>
          </a:xfrm>
          <a:custGeom>
            <a:avLst/>
            <a:gdLst>
              <a:gd name="connsiteX0" fmla="*/ 0 w 108601"/>
              <a:gd name="connsiteY0" fmla="*/ 0 h 39091"/>
              <a:gd name="connsiteX1" fmla="*/ 108601 w 108601"/>
              <a:gd name="connsiteY1" fmla="*/ 0 h 39091"/>
              <a:gd name="connsiteX2" fmla="*/ 108601 w 108601"/>
              <a:gd name="connsiteY2" fmla="*/ 39092 h 39091"/>
              <a:gd name="connsiteX3" fmla="*/ 0 w 108601"/>
              <a:gd name="connsiteY3" fmla="*/ 39092 h 39091"/>
            </a:gdLst>
            <a:ahLst/>
            <a:cxnLst>
              <a:cxn ang="0">
                <a:pos x="connsiteX0" y="connsiteY0"/>
              </a:cxn>
              <a:cxn ang="0">
                <a:pos x="connsiteX1" y="connsiteY1"/>
              </a:cxn>
              <a:cxn ang="0">
                <a:pos x="connsiteX2" y="connsiteY2"/>
              </a:cxn>
              <a:cxn ang="0">
                <a:pos x="connsiteX3" y="connsiteY3"/>
              </a:cxn>
            </a:cxnLst>
            <a:rect l="l" t="t" r="r" b="b"/>
            <a:pathLst>
              <a:path w="108601" h="39091">
                <a:moveTo>
                  <a:pt x="0" y="0"/>
                </a:moveTo>
                <a:lnTo>
                  <a:pt x="108601" y="0"/>
                </a:lnTo>
                <a:lnTo>
                  <a:pt x="108601" y="39092"/>
                </a:lnTo>
                <a:lnTo>
                  <a:pt x="0" y="39092"/>
                </a:lnTo>
                <a:close/>
              </a:path>
            </a:pathLst>
          </a:custGeom>
          <a:solidFill>
            <a:srgbClr val="CFCFCF"/>
          </a:solidFill>
          <a:ln w="1161" cap="flat">
            <a:noFill/>
            <a:prstDash val="solid"/>
            <a:miter/>
          </a:ln>
        </xdr:spPr>
        <xdr:txBody>
          <a:bodyPr rtlCol="0" anchor="ctr"/>
          <a:lstStyle/>
          <a:p>
            <a:endParaRPr lang="en-US"/>
          </a:p>
        </xdr:txBody>
      </xdr:sp>
      <xdr:sp macro="" textlink="">
        <xdr:nvSpPr>
          <xdr:cNvPr id="213" name="Freeform: Shape 212">
            <a:extLst>
              <a:ext uri="{FF2B5EF4-FFF2-40B4-BE49-F238E27FC236}">
                <a16:creationId xmlns:a16="http://schemas.microsoft.com/office/drawing/2014/main" id="{4872E82B-E150-87AD-630E-4327460D91D6}"/>
              </a:ext>
            </a:extLst>
          </xdr:cNvPr>
          <xdr:cNvSpPr/>
        </xdr:nvSpPr>
        <xdr:spPr>
          <a:xfrm>
            <a:off x="5880512" y="880793"/>
            <a:ext cx="27598" cy="5621"/>
          </a:xfrm>
          <a:custGeom>
            <a:avLst/>
            <a:gdLst>
              <a:gd name="connsiteX0" fmla="*/ 0 w 27598"/>
              <a:gd name="connsiteY0" fmla="*/ 0 h 5621"/>
              <a:gd name="connsiteX1" fmla="*/ 27598 w 27598"/>
              <a:gd name="connsiteY1" fmla="*/ 0 h 5621"/>
              <a:gd name="connsiteX2" fmla="*/ 27598 w 27598"/>
              <a:gd name="connsiteY2" fmla="*/ 5622 h 5621"/>
              <a:gd name="connsiteX3" fmla="*/ 0 w 27598"/>
              <a:gd name="connsiteY3" fmla="*/ 5622 h 5621"/>
            </a:gdLst>
            <a:ahLst/>
            <a:cxnLst>
              <a:cxn ang="0">
                <a:pos x="connsiteX0" y="connsiteY0"/>
              </a:cxn>
              <a:cxn ang="0">
                <a:pos x="connsiteX1" y="connsiteY1"/>
              </a:cxn>
              <a:cxn ang="0">
                <a:pos x="connsiteX2" y="connsiteY2"/>
              </a:cxn>
              <a:cxn ang="0">
                <a:pos x="connsiteX3" y="connsiteY3"/>
              </a:cxn>
            </a:cxnLst>
            <a:rect l="l" t="t" r="r" b="b"/>
            <a:pathLst>
              <a:path w="27598" h="5621">
                <a:moveTo>
                  <a:pt x="0" y="0"/>
                </a:moveTo>
                <a:lnTo>
                  <a:pt x="27598" y="0"/>
                </a:lnTo>
                <a:lnTo>
                  <a:pt x="27598" y="5622"/>
                </a:lnTo>
                <a:lnTo>
                  <a:pt x="0" y="5622"/>
                </a:lnTo>
                <a:close/>
              </a:path>
            </a:pathLst>
          </a:custGeom>
          <a:solidFill>
            <a:srgbClr val="CFCFCF"/>
          </a:solidFill>
          <a:ln w="1161" cap="flat">
            <a:noFill/>
            <a:prstDash val="solid"/>
            <a:miter/>
          </a:ln>
        </xdr:spPr>
        <xdr:txBody>
          <a:bodyPr rtlCol="0" anchor="ctr"/>
          <a:lstStyle/>
          <a:p>
            <a:endParaRPr lang="en-US"/>
          </a:p>
        </xdr:txBody>
      </xdr:sp>
    </xdr:grpSp>
    <xdr:clientData/>
  </xdr:twoCellAnchor>
  <xdr:twoCellAnchor editAs="absolute">
    <xdr:from>
      <xdr:col>1</xdr:col>
      <xdr:colOff>14375</xdr:colOff>
      <xdr:row>1</xdr:row>
      <xdr:rowOff>19118</xdr:rowOff>
    </xdr:from>
    <xdr:to>
      <xdr:col>1</xdr:col>
      <xdr:colOff>1466915</xdr:colOff>
      <xdr:row>1</xdr:row>
      <xdr:rowOff>859140</xdr:rowOff>
    </xdr:to>
    <xdr:pic>
      <xdr:nvPicPr>
        <xdr:cNvPr id="7" name="Picture 6">
          <a:extLst>
            <a:ext uri="{FF2B5EF4-FFF2-40B4-BE49-F238E27FC236}">
              <a16:creationId xmlns:a16="http://schemas.microsoft.com/office/drawing/2014/main" id="{FB7D44FD-CED8-4EDF-BB18-8BC464DB0C58}"/>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12000"/>
                  </a14:imgEffect>
                </a14:imgLayer>
              </a14:imgProps>
            </a:ext>
            <a:ext uri="{28A0092B-C50C-407E-A947-70E740481C1C}">
              <a14:useLocalDpi xmlns:a14="http://schemas.microsoft.com/office/drawing/2010/main" val="0"/>
            </a:ext>
          </a:extLst>
        </a:blip>
        <a:srcRect l="30013" t="4009" r="29849" b="79581"/>
        <a:stretch/>
      </xdr:blipFill>
      <xdr:spPr>
        <a:xfrm>
          <a:off x="628923" y="120058"/>
          <a:ext cx="1452540" cy="840022"/>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dtfl="http://schemas.microsoft.com/office/word/2024/wordml/sdtformatlock"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lc="http://schemas.openxmlformats.org/drawingml/2006/lockedCanvas"/>
          </a:ext>
        </a:extLst>
      </xdr:spPr>
    </xdr:pic>
    <xdr:clientData/>
  </xdr:twoCellAnchor>
  <xdr:twoCellAnchor editAs="oneCell">
    <xdr:from>
      <xdr:col>9</xdr:col>
      <xdr:colOff>374072</xdr:colOff>
      <xdr:row>5</xdr:row>
      <xdr:rowOff>141317</xdr:rowOff>
    </xdr:from>
    <xdr:to>
      <xdr:col>10</xdr:col>
      <xdr:colOff>266006</xdr:colOff>
      <xdr:row>12</xdr:row>
      <xdr:rowOff>191887</xdr:rowOff>
    </xdr:to>
    <xdr:pic>
      <xdr:nvPicPr>
        <xdr:cNvPr id="18" name="Graphic 17" descr="A square made of dots">
          <a:extLst>
            <a:ext uri="{FF2B5EF4-FFF2-40B4-BE49-F238E27FC236}">
              <a16:creationId xmlns:a16="http://schemas.microsoft.com/office/drawing/2014/main" id="{C68447CF-9977-5C5B-7F0C-2DBCD47EA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04167" y="1886990"/>
          <a:ext cx="615142" cy="615142"/>
        </a:xfrm>
        <a:prstGeom prst="rect">
          <a:avLst/>
        </a:prstGeom>
      </xdr:spPr>
    </xdr:pic>
    <xdr:clientData/>
  </xdr:twoCellAnchor>
  <xdr:twoCellAnchor editAs="oneCell">
    <xdr:from>
      <xdr:col>10</xdr:col>
      <xdr:colOff>110838</xdr:colOff>
      <xdr:row>5</xdr:row>
      <xdr:rowOff>124694</xdr:rowOff>
    </xdr:from>
    <xdr:to>
      <xdr:col>11</xdr:col>
      <xdr:colOff>335280</xdr:colOff>
      <xdr:row>13</xdr:row>
      <xdr:rowOff>11086</xdr:rowOff>
    </xdr:to>
    <xdr:pic>
      <xdr:nvPicPr>
        <xdr:cNvPr id="16" name="Graphic 15" descr="A lightbulb">
          <a:extLst>
            <a:ext uri="{FF2B5EF4-FFF2-40B4-BE49-F238E27FC236}">
              <a16:creationId xmlns:a16="http://schemas.microsoft.com/office/drawing/2014/main" id="{AD93AC58-499D-D98E-9500-57D05AEF341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836694">
          <a:off x="8927178" y="1862054"/>
          <a:ext cx="620682" cy="640772"/>
        </a:xfrm>
        <a:prstGeom prst="rect">
          <a:avLst/>
        </a:prstGeom>
      </xdr:spPr>
    </xdr:pic>
    <xdr:clientData/>
  </xdr:twoCellAnchor>
  <xdr:twoCellAnchor editAs="oneCell">
    <xdr:from>
      <xdr:col>9</xdr:col>
      <xdr:colOff>365759</xdr:colOff>
      <xdr:row>25</xdr:row>
      <xdr:rowOff>199502</xdr:rowOff>
    </xdr:from>
    <xdr:to>
      <xdr:col>10</xdr:col>
      <xdr:colOff>257693</xdr:colOff>
      <xdr:row>31</xdr:row>
      <xdr:rowOff>16622</xdr:rowOff>
    </xdr:to>
    <xdr:pic>
      <xdr:nvPicPr>
        <xdr:cNvPr id="21" name="Graphic 20" descr="A square made of dots">
          <a:extLst>
            <a:ext uri="{FF2B5EF4-FFF2-40B4-BE49-F238E27FC236}">
              <a16:creationId xmlns:a16="http://schemas.microsoft.com/office/drawing/2014/main" id="{00EB4BE8-C4FB-47C9-9737-C05AFCEE36B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5854" y="3956855"/>
          <a:ext cx="615142" cy="615142"/>
        </a:xfrm>
        <a:prstGeom prst="rect">
          <a:avLst/>
        </a:prstGeom>
      </xdr:spPr>
    </xdr:pic>
    <xdr:clientData/>
  </xdr:twoCellAnchor>
  <xdr:twoCellAnchor editAs="oneCell">
    <xdr:from>
      <xdr:col>10</xdr:col>
      <xdr:colOff>110838</xdr:colOff>
      <xdr:row>25</xdr:row>
      <xdr:rowOff>182879</xdr:rowOff>
    </xdr:from>
    <xdr:to>
      <xdr:col>11</xdr:col>
      <xdr:colOff>335280</xdr:colOff>
      <xdr:row>31</xdr:row>
      <xdr:rowOff>41561</xdr:rowOff>
    </xdr:to>
    <xdr:pic>
      <xdr:nvPicPr>
        <xdr:cNvPr id="22" name="Graphic 21" descr="A lightbulb">
          <a:extLst>
            <a:ext uri="{FF2B5EF4-FFF2-40B4-BE49-F238E27FC236}">
              <a16:creationId xmlns:a16="http://schemas.microsoft.com/office/drawing/2014/main" id="{6A53A7BE-0CE7-405C-9D73-E5F5DAFA093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940232"/>
          <a:ext cx="656704" cy="656704"/>
        </a:xfrm>
        <a:prstGeom prst="rect">
          <a:avLst/>
        </a:prstGeom>
      </xdr:spPr>
    </xdr:pic>
    <xdr:clientData/>
  </xdr:twoCellAnchor>
  <xdr:twoCellAnchor editAs="oneCell">
    <xdr:from>
      <xdr:col>9</xdr:col>
      <xdr:colOff>364624</xdr:colOff>
      <xdr:row>18</xdr:row>
      <xdr:rowOff>142450</xdr:rowOff>
    </xdr:from>
    <xdr:to>
      <xdr:col>10</xdr:col>
      <xdr:colOff>256558</xdr:colOff>
      <xdr:row>23</xdr:row>
      <xdr:rowOff>17760</xdr:rowOff>
    </xdr:to>
    <xdr:pic>
      <xdr:nvPicPr>
        <xdr:cNvPr id="23" name="Graphic 22" descr="A square made of dots">
          <a:extLst>
            <a:ext uri="{FF2B5EF4-FFF2-40B4-BE49-F238E27FC236}">
              <a16:creationId xmlns:a16="http://schemas.microsoft.com/office/drawing/2014/main" id="{5D1DEAEC-52AC-405C-B6CD-D3775C4B5C9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8686" y="2891318"/>
          <a:ext cx="619677" cy="612120"/>
        </a:xfrm>
        <a:prstGeom prst="rect">
          <a:avLst/>
        </a:prstGeom>
      </xdr:spPr>
    </xdr:pic>
    <xdr:clientData/>
  </xdr:twoCellAnchor>
  <xdr:twoCellAnchor editAs="oneCell">
    <xdr:from>
      <xdr:col>10</xdr:col>
      <xdr:colOff>110838</xdr:colOff>
      <xdr:row>18</xdr:row>
      <xdr:rowOff>116381</xdr:rowOff>
    </xdr:from>
    <xdr:to>
      <xdr:col>11</xdr:col>
      <xdr:colOff>335280</xdr:colOff>
      <xdr:row>23</xdr:row>
      <xdr:rowOff>33253</xdr:rowOff>
    </xdr:to>
    <xdr:pic>
      <xdr:nvPicPr>
        <xdr:cNvPr id="24" name="Graphic 23" descr="A lightbulb">
          <a:extLst>
            <a:ext uri="{FF2B5EF4-FFF2-40B4-BE49-F238E27FC236}">
              <a16:creationId xmlns:a16="http://schemas.microsoft.com/office/drawing/2014/main" id="{9F6BB340-7F4D-45BE-A0E3-F00D310F1BF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2867894"/>
          <a:ext cx="656704" cy="656704"/>
        </a:xfrm>
        <a:prstGeom prst="rect">
          <a:avLst/>
        </a:prstGeom>
      </xdr:spPr>
    </xdr:pic>
    <xdr:clientData/>
  </xdr:twoCellAnchor>
  <xdr:twoCellAnchor editAs="oneCell">
    <xdr:from>
      <xdr:col>9</xdr:col>
      <xdr:colOff>367080</xdr:colOff>
      <xdr:row>32</xdr:row>
      <xdr:rowOff>191189</xdr:rowOff>
    </xdr:from>
    <xdr:to>
      <xdr:col>10</xdr:col>
      <xdr:colOff>259014</xdr:colOff>
      <xdr:row>38</xdr:row>
      <xdr:rowOff>16622</xdr:rowOff>
    </xdr:to>
    <xdr:pic>
      <xdr:nvPicPr>
        <xdr:cNvPr id="25" name="Graphic 24" descr="A square made of dots">
          <a:extLst>
            <a:ext uri="{FF2B5EF4-FFF2-40B4-BE49-F238E27FC236}">
              <a16:creationId xmlns:a16="http://schemas.microsoft.com/office/drawing/2014/main" id="{AE3F786F-B5C8-4152-89A1-F094600488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21618" y="4954382"/>
          <a:ext cx="615142" cy="615142"/>
        </a:xfrm>
        <a:prstGeom prst="rect">
          <a:avLst/>
        </a:prstGeom>
      </xdr:spPr>
    </xdr:pic>
    <xdr:clientData/>
  </xdr:twoCellAnchor>
  <xdr:twoCellAnchor editAs="oneCell">
    <xdr:from>
      <xdr:col>9</xdr:col>
      <xdr:colOff>368215</xdr:colOff>
      <xdr:row>41</xdr:row>
      <xdr:rowOff>133001</xdr:rowOff>
    </xdr:from>
    <xdr:to>
      <xdr:col>10</xdr:col>
      <xdr:colOff>260149</xdr:colOff>
      <xdr:row>45</xdr:row>
      <xdr:rowOff>74812</xdr:rowOff>
    </xdr:to>
    <xdr:pic>
      <xdr:nvPicPr>
        <xdr:cNvPr id="27" name="Graphic 26" descr="A square made of dots">
          <a:extLst>
            <a:ext uri="{FF2B5EF4-FFF2-40B4-BE49-F238E27FC236}">
              <a16:creationId xmlns:a16="http://schemas.microsoft.com/office/drawing/2014/main" id="{F81A57B2-8CC5-46BF-98B0-6238C2C358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402277" y="5833832"/>
          <a:ext cx="619677" cy="612496"/>
        </a:xfrm>
        <a:prstGeom prst="rect">
          <a:avLst/>
        </a:prstGeom>
      </xdr:spPr>
    </xdr:pic>
    <xdr:clientData/>
  </xdr:twoCellAnchor>
  <xdr:twoCellAnchor editAs="oneCell">
    <xdr:from>
      <xdr:col>10</xdr:col>
      <xdr:colOff>110838</xdr:colOff>
      <xdr:row>41</xdr:row>
      <xdr:rowOff>108066</xdr:rowOff>
    </xdr:from>
    <xdr:to>
      <xdr:col>11</xdr:col>
      <xdr:colOff>335280</xdr:colOff>
      <xdr:row>46</xdr:row>
      <xdr:rowOff>8312</xdr:rowOff>
    </xdr:to>
    <xdr:pic>
      <xdr:nvPicPr>
        <xdr:cNvPr id="28" name="Graphic 27" descr="A lightbulb">
          <a:extLst>
            <a:ext uri="{FF2B5EF4-FFF2-40B4-BE49-F238E27FC236}">
              <a16:creationId xmlns:a16="http://schemas.microsoft.com/office/drawing/2014/main" id="{F8043E3D-9CC0-438B-92BA-B33E8739D9C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6076604"/>
          <a:ext cx="656704" cy="656704"/>
        </a:xfrm>
        <a:prstGeom prst="rect">
          <a:avLst/>
        </a:prstGeom>
      </xdr:spPr>
    </xdr:pic>
    <xdr:clientData/>
  </xdr:twoCellAnchor>
  <xdr:twoCellAnchor editAs="oneCell">
    <xdr:from>
      <xdr:col>9</xdr:col>
      <xdr:colOff>352723</xdr:colOff>
      <xdr:row>36</xdr:row>
      <xdr:rowOff>182500</xdr:rowOff>
    </xdr:from>
    <xdr:to>
      <xdr:col>10</xdr:col>
      <xdr:colOff>244657</xdr:colOff>
      <xdr:row>41</xdr:row>
      <xdr:rowOff>59321</xdr:rowOff>
    </xdr:to>
    <xdr:pic>
      <xdr:nvPicPr>
        <xdr:cNvPr id="29" name="Graphic 28" descr="A square made of dots">
          <a:extLst>
            <a:ext uri="{FF2B5EF4-FFF2-40B4-BE49-F238E27FC236}">
              <a16:creationId xmlns:a16="http://schemas.microsoft.com/office/drawing/2014/main" id="{FFBB97A4-C203-4AAE-B9B4-51B305C401B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261" y="5469395"/>
          <a:ext cx="615142" cy="616653"/>
        </a:xfrm>
        <a:prstGeom prst="rect">
          <a:avLst/>
        </a:prstGeom>
      </xdr:spPr>
    </xdr:pic>
    <xdr:clientData/>
  </xdr:twoCellAnchor>
  <xdr:twoCellAnchor editAs="oneCell">
    <xdr:from>
      <xdr:col>10</xdr:col>
      <xdr:colOff>110838</xdr:colOff>
      <xdr:row>36</xdr:row>
      <xdr:rowOff>124688</xdr:rowOff>
    </xdr:from>
    <xdr:to>
      <xdr:col>11</xdr:col>
      <xdr:colOff>335280</xdr:colOff>
      <xdr:row>41</xdr:row>
      <xdr:rowOff>41560</xdr:rowOff>
    </xdr:to>
    <xdr:pic>
      <xdr:nvPicPr>
        <xdr:cNvPr id="32" name="Graphic 31" descr="A lightbulb">
          <a:extLst>
            <a:ext uri="{FF2B5EF4-FFF2-40B4-BE49-F238E27FC236}">
              <a16:creationId xmlns:a16="http://schemas.microsoft.com/office/drawing/2014/main" id="{3661E2D8-335B-4285-BC4C-45DE06B5ECF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5411583"/>
          <a:ext cx="656704" cy="656704"/>
        </a:xfrm>
        <a:prstGeom prst="rect">
          <a:avLst/>
        </a:prstGeom>
      </xdr:spPr>
    </xdr:pic>
    <xdr:clientData/>
  </xdr:twoCellAnchor>
  <xdr:twoCellAnchor editAs="oneCell">
    <xdr:from>
      <xdr:col>9</xdr:col>
      <xdr:colOff>363493</xdr:colOff>
      <xdr:row>21</xdr:row>
      <xdr:rowOff>192324</xdr:rowOff>
    </xdr:from>
    <xdr:to>
      <xdr:col>10</xdr:col>
      <xdr:colOff>255427</xdr:colOff>
      <xdr:row>27</xdr:row>
      <xdr:rowOff>10955</xdr:rowOff>
    </xdr:to>
    <xdr:pic>
      <xdr:nvPicPr>
        <xdr:cNvPr id="33" name="Graphic 32" descr="A square made of dots">
          <a:extLst>
            <a:ext uri="{FF2B5EF4-FFF2-40B4-BE49-F238E27FC236}">
              <a16:creationId xmlns:a16="http://schemas.microsoft.com/office/drawing/2014/main" id="{291E1371-40B2-408E-A95B-77F8AA82FA2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397555" y="3413506"/>
          <a:ext cx="619677" cy="612118"/>
        </a:xfrm>
        <a:prstGeom prst="rect">
          <a:avLst/>
        </a:prstGeom>
      </xdr:spPr>
    </xdr:pic>
    <xdr:clientData/>
  </xdr:twoCellAnchor>
  <xdr:twoCellAnchor editAs="oneCell">
    <xdr:from>
      <xdr:col>10</xdr:col>
      <xdr:colOff>110838</xdr:colOff>
      <xdr:row>21</xdr:row>
      <xdr:rowOff>166254</xdr:rowOff>
    </xdr:from>
    <xdr:to>
      <xdr:col>11</xdr:col>
      <xdr:colOff>335280</xdr:colOff>
      <xdr:row>27</xdr:row>
      <xdr:rowOff>24936</xdr:rowOff>
    </xdr:to>
    <xdr:pic>
      <xdr:nvPicPr>
        <xdr:cNvPr id="34" name="Graphic 33" descr="A lightbulb">
          <a:extLst>
            <a:ext uri="{FF2B5EF4-FFF2-40B4-BE49-F238E27FC236}">
              <a16:creationId xmlns:a16="http://schemas.microsoft.com/office/drawing/2014/main" id="{3D119179-AFAE-4141-B3C4-43342F5C650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3391592"/>
          <a:ext cx="656704" cy="656704"/>
        </a:xfrm>
        <a:prstGeom prst="rect">
          <a:avLst/>
        </a:prstGeom>
      </xdr:spPr>
    </xdr:pic>
    <xdr:clientData/>
  </xdr:twoCellAnchor>
  <xdr:twoCellAnchor editAs="oneCell">
    <xdr:from>
      <xdr:col>9</xdr:col>
      <xdr:colOff>353226</xdr:colOff>
      <xdr:row>29</xdr:row>
      <xdr:rowOff>144085</xdr:rowOff>
    </xdr:from>
    <xdr:to>
      <xdr:col>10</xdr:col>
      <xdr:colOff>245160</xdr:colOff>
      <xdr:row>34</xdr:row>
      <xdr:rowOff>27707</xdr:rowOff>
    </xdr:to>
    <xdr:pic>
      <xdr:nvPicPr>
        <xdr:cNvPr id="3" name="Graphic 2" descr="A square made of dots">
          <a:extLst>
            <a:ext uri="{FF2B5EF4-FFF2-40B4-BE49-F238E27FC236}">
              <a16:creationId xmlns:a16="http://schemas.microsoft.com/office/drawing/2014/main" id="{2CE78120-4FC0-457D-9385-535F745231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07764" y="4433452"/>
          <a:ext cx="615142" cy="615142"/>
        </a:xfrm>
        <a:prstGeom prst="rect">
          <a:avLst/>
        </a:prstGeom>
      </xdr:spPr>
    </xdr:pic>
    <xdr:clientData/>
  </xdr:twoCellAnchor>
  <xdr:twoCellAnchor editAs="oneCell">
    <xdr:from>
      <xdr:col>10</xdr:col>
      <xdr:colOff>110838</xdr:colOff>
      <xdr:row>32</xdr:row>
      <xdr:rowOff>144089</xdr:rowOff>
    </xdr:from>
    <xdr:to>
      <xdr:col>11</xdr:col>
      <xdr:colOff>335280</xdr:colOff>
      <xdr:row>38</xdr:row>
      <xdr:rowOff>11084</xdr:rowOff>
    </xdr:to>
    <xdr:pic>
      <xdr:nvPicPr>
        <xdr:cNvPr id="4" name="Graphic 3" descr="A lightbulb">
          <a:extLst>
            <a:ext uri="{FF2B5EF4-FFF2-40B4-BE49-F238E27FC236}">
              <a16:creationId xmlns:a16="http://schemas.microsoft.com/office/drawing/2014/main" id="{CD88B5FE-F248-4F12-883A-4AA0EA63159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907282"/>
          <a:ext cx="656704" cy="656704"/>
        </a:xfrm>
        <a:prstGeom prst="rect">
          <a:avLst/>
        </a:prstGeom>
      </xdr:spPr>
    </xdr:pic>
    <xdr:clientData/>
  </xdr:twoCellAnchor>
  <xdr:twoCellAnchor editAs="oneCell">
    <xdr:from>
      <xdr:col>10</xdr:col>
      <xdr:colOff>110838</xdr:colOff>
      <xdr:row>29</xdr:row>
      <xdr:rowOff>141317</xdr:rowOff>
    </xdr:from>
    <xdr:to>
      <xdr:col>11</xdr:col>
      <xdr:colOff>335280</xdr:colOff>
      <xdr:row>34</xdr:row>
      <xdr:rowOff>66501</xdr:rowOff>
    </xdr:to>
    <xdr:pic>
      <xdr:nvPicPr>
        <xdr:cNvPr id="26" name="Graphic 25" descr="A lightbulb">
          <a:extLst>
            <a:ext uri="{FF2B5EF4-FFF2-40B4-BE49-F238E27FC236}">
              <a16:creationId xmlns:a16="http://schemas.microsoft.com/office/drawing/2014/main" id="{F75D8F69-C268-4E8B-8774-2645A41978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8797638" y="4430684"/>
          <a:ext cx="656704" cy="656704"/>
        </a:xfrm>
        <a:prstGeom prst="rect">
          <a:avLst/>
        </a:prstGeom>
      </xdr:spPr>
    </xdr:pic>
    <xdr:clientData/>
  </xdr:twoCellAnchor>
  <xdr:twoCellAnchor editAs="oneCell">
    <xdr:from>
      <xdr:col>9</xdr:col>
      <xdr:colOff>350520</xdr:colOff>
      <xdr:row>13</xdr:row>
      <xdr:rowOff>33689</xdr:rowOff>
    </xdr:from>
    <xdr:to>
      <xdr:col>10</xdr:col>
      <xdr:colOff>242454</xdr:colOff>
      <xdr:row>17</xdr:row>
      <xdr:rowOff>69019</xdr:rowOff>
    </xdr:to>
    <xdr:pic>
      <xdr:nvPicPr>
        <xdr:cNvPr id="2" name="Graphic 1" descr="A square made of dots">
          <a:extLst>
            <a:ext uri="{FF2B5EF4-FFF2-40B4-BE49-F238E27FC236}">
              <a16:creationId xmlns:a16="http://schemas.microsoft.com/office/drawing/2014/main" id="{03E34EEF-AB45-44F5-8C35-6C2C248DE9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7"/>
            </a:ext>
          </a:extLst>
        </a:blip>
        <a:stretch>
          <a:fillRect/>
        </a:stretch>
      </xdr:blipFill>
      <xdr:spPr>
        <a:xfrm>
          <a:off x="8694420" y="2525429"/>
          <a:ext cx="554874" cy="599210"/>
        </a:xfrm>
        <a:prstGeom prst="rect">
          <a:avLst/>
        </a:prstGeom>
      </xdr:spPr>
    </xdr:pic>
    <xdr:clientData/>
  </xdr:twoCellAnchor>
  <xdr:twoCellAnchor editAs="oneCell">
    <xdr:from>
      <xdr:col>10</xdr:col>
      <xdr:colOff>96734</xdr:colOff>
      <xdr:row>13</xdr:row>
      <xdr:rowOff>7620</xdr:rowOff>
    </xdr:from>
    <xdr:to>
      <xdr:col>11</xdr:col>
      <xdr:colOff>321176</xdr:colOff>
      <xdr:row>17</xdr:row>
      <xdr:rowOff>84512</xdr:rowOff>
    </xdr:to>
    <xdr:pic>
      <xdr:nvPicPr>
        <xdr:cNvPr id="5" name="Graphic 4" descr="A lightbulb">
          <a:extLst>
            <a:ext uri="{FF2B5EF4-FFF2-40B4-BE49-F238E27FC236}">
              <a16:creationId xmlns:a16="http://schemas.microsoft.com/office/drawing/2014/main" id="{F234FACC-0D00-4C88-8847-65A49EEC250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8"/>
            </a:ext>
          </a:extLst>
        </a:blip>
        <a:stretch>
          <a:fillRect/>
        </a:stretch>
      </xdr:blipFill>
      <xdr:spPr>
        <a:xfrm rot="1836694">
          <a:off x="9103574" y="2499360"/>
          <a:ext cx="620682" cy="640772"/>
        </a:xfrm>
        <a:prstGeom prst="rect">
          <a:avLst/>
        </a:prstGeom>
      </xdr:spPr>
    </xdr:pic>
    <xdr:clientData/>
  </xdr:twoCellAnchor>
</xdr:wsDr>
</file>

<file path=xl/theme/theme1.xml><?xml version="1.0" encoding="utf-8"?>
<a:theme xmlns:a="http://schemas.openxmlformats.org/drawingml/2006/main" name="Office Theme">
  <a:themeElements>
    <a:clrScheme name="Drakenstein">
      <a:dk1>
        <a:sysClr val="windowText" lastClr="000000"/>
      </a:dk1>
      <a:lt1>
        <a:sysClr val="window" lastClr="FFFFFF"/>
      </a:lt1>
      <a:dk2>
        <a:srgbClr val="1F2D41"/>
      </a:dk2>
      <a:lt2>
        <a:srgbClr val="D9D9D9"/>
      </a:lt2>
      <a:accent1>
        <a:srgbClr val="002855"/>
      </a:accent1>
      <a:accent2>
        <a:srgbClr val="77871C"/>
      </a:accent2>
      <a:accent3>
        <a:srgbClr val="00447F"/>
      </a:accent3>
      <a:accent4>
        <a:srgbClr val="0089AD"/>
      </a:accent4>
      <a:accent5>
        <a:srgbClr val="A4BCD6"/>
      </a:accent5>
      <a:accent6>
        <a:srgbClr val="E6C541"/>
      </a:accent6>
      <a:hlink>
        <a:srgbClr val="004680"/>
      </a:hlink>
      <a:folHlink>
        <a:srgbClr val="199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415D-C0FF-46C9-98B5-D94569A9E4BF}">
  <sheetPr codeName="Sheet1">
    <pageSetUpPr fitToPage="1"/>
  </sheetPr>
  <dimension ref="A1:AP218"/>
  <sheetViews>
    <sheetView showGridLines="0" tabSelected="1" zoomScaleNormal="100" workbookViewId="0">
      <selection activeCell="L4" sqref="L4"/>
    </sheetView>
  </sheetViews>
  <sheetFormatPr defaultRowHeight="36.6" x14ac:dyDescent="0.7"/>
  <cols>
    <col min="1" max="1" width="8.21875" style="14" customWidth="1"/>
    <col min="2" max="2" width="24.5546875" style="14" customWidth="1"/>
    <col min="3" max="3" width="4" style="14" customWidth="1"/>
    <col min="4" max="4" width="19.88671875" style="14" customWidth="1"/>
    <col min="5" max="5" width="5.44140625" style="14" customWidth="1"/>
    <col min="6" max="6" width="25.44140625" style="14" customWidth="1"/>
    <col min="7" max="7" width="16.5546875" style="14" customWidth="1"/>
    <col min="8" max="8" width="5.44140625" style="14" customWidth="1"/>
    <col min="9" max="9" width="14" style="14" customWidth="1"/>
    <col min="10" max="10" width="9.6640625" style="14" customWidth="1"/>
    <col min="11" max="11" width="5.77734375" style="14" customWidth="1"/>
    <col min="12" max="12" width="42.44140625" style="14" customWidth="1"/>
    <col min="13" max="16384" width="8.88671875" style="14"/>
  </cols>
  <sheetData>
    <row r="1" spans="1:42" ht="7.8" customHeight="1" x14ac:dyDescent="0.7"/>
    <row r="2" spans="1:42" ht="68.7" customHeight="1" x14ac:dyDescent="0.7">
      <c r="B2" s="15"/>
      <c r="C2" s="98" t="s">
        <v>145</v>
      </c>
      <c r="D2" s="15"/>
      <c r="E2" s="15"/>
      <c r="F2" s="97"/>
      <c r="G2" s="15"/>
      <c r="H2" s="15"/>
      <c r="I2" s="16"/>
      <c r="J2" s="17"/>
      <c r="K2" s="17"/>
      <c r="L2" s="17"/>
      <c r="M2" s="17"/>
    </row>
    <row r="3" spans="1:42" ht="6" customHeight="1" thickBot="1" x14ac:dyDescent="0.75"/>
    <row r="4" spans="1:42" ht="49.05" customHeight="1" thickBot="1" x14ac:dyDescent="0.75">
      <c r="B4" s="121" t="s">
        <v>101</v>
      </c>
      <c r="C4" s="122"/>
      <c r="D4" s="122"/>
      <c r="E4" s="122"/>
      <c r="F4" s="122"/>
      <c r="G4" s="122"/>
      <c r="H4" s="122"/>
      <c r="I4" s="123"/>
      <c r="J4" s="18"/>
      <c r="K4" s="18"/>
      <c r="L4" s="18"/>
    </row>
    <row r="5" spans="1:42" ht="6" customHeight="1" x14ac:dyDescent="0.7">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row>
    <row r="6" spans="1:42" ht="16.5" customHeight="1" x14ac:dyDescent="0.7">
      <c r="A6" s="20"/>
      <c r="B6" s="21" t="s">
        <v>0</v>
      </c>
      <c r="C6" s="21"/>
      <c r="D6" s="22"/>
      <c r="E6" s="22"/>
      <c r="F6" s="22"/>
      <c r="G6" s="22"/>
      <c r="H6" s="22"/>
      <c r="I6" s="20"/>
      <c r="J6" s="20"/>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row>
    <row r="7" spans="1:42" ht="16.5" hidden="1" customHeight="1" thickTop="1" x14ac:dyDescent="0.7">
      <c r="A7" s="20"/>
      <c r="B7" s="22" t="s">
        <v>135</v>
      </c>
      <c r="C7" s="22"/>
      <c r="D7" s="22"/>
      <c r="E7" s="23" t="s">
        <v>25</v>
      </c>
      <c r="F7" s="54">
        <v>0</v>
      </c>
      <c r="G7" s="20"/>
      <c r="H7" s="20"/>
      <c r="I7" s="20"/>
      <c r="J7" s="20"/>
      <c r="K7" s="70" t="s">
        <v>110</v>
      </c>
      <c r="L7" s="131" t="s">
        <v>136</v>
      </c>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row>
    <row r="8" spans="1:42" ht="4.6500000000000004" hidden="1" customHeight="1" x14ac:dyDescent="0.7">
      <c r="A8" s="20"/>
      <c r="B8" s="22"/>
      <c r="C8" s="22"/>
      <c r="D8" s="22"/>
      <c r="E8" s="22"/>
      <c r="F8" s="22"/>
      <c r="G8" s="20"/>
      <c r="H8" s="20"/>
      <c r="I8" s="20"/>
      <c r="J8" s="20"/>
      <c r="K8" s="71"/>
      <c r="L8" s="132"/>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2" ht="16.8" hidden="1" customHeight="1" x14ac:dyDescent="0.7">
      <c r="A9" s="20"/>
      <c r="B9" s="140" t="s">
        <v>134</v>
      </c>
      <c r="C9" s="22"/>
      <c r="D9" s="22"/>
      <c r="E9" s="22"/>
      <c r="F9" s="22"/>
      <c r="G9" s="20"/>
      <c r="H9" s="20"/>
      <c r="I9" s="20"/>
      <c r="J9" s="20"/>
      <c r="K9" s="71"/>
      <c r="L9" s="132"/>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2" ht="4.8" customHeight="1" thickBot="1" x14ac:dyDescent="0.75">
      <c r="A10" s="20"/>
      <c r="B10" s="22"/>
      <c r="C10" s="22"/>
      <c r="D10" s="22"/>
      <c r="E10" s="22"/>
      <c r="F10" s="22"/>
      <c r="G10" s="20"/>
      <c r="H10" s="20"/>
      <c r="I10" s="20"/>
      <c r="J10" s="20"/>
      <c r="K10" s="71"/>
      <c r="L10" s="132"/>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row>
    <row r="11" spans="1:42" ht="16.8" customHeight="1" x14ac:dyDescent="0.7">
      <c r="A11" s="20"/>
      <c r="B11" s="22" t="s">
        <v>143</v>
      </c>
      <c r="C11" s="22"/>
      <c r="D11" s="22"/>
      <c r="E11" s="165" t="s">
        <v>25</v>
      </c>
      <c r="F11" s="152"/>
      <c r="G11" s="20"/>
      <c r="H11" s="20"/>
      <c r="I11" s="20"/>
      <c r="J11" s="20"/>
      <c r="K11" s="71"/>
      <c r="L11" s="132"/>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row>
    <row r="12" spans="1:42" ht="5.4" customHeight="1" thickBot="1" x14ac:dyDescent="0.75">
      <c r="A12" s="20"/>
      <c r="B12" s="22"/>
      <c r="C12" s="22"/>
      <c r="D12" s="22"/>
      <c r="E12" s="159"/>
      <c r="F12" s="22"/>
      <c r="G12" s="20"/>
      <c r="H12" s="20"/>
      <c r="I12" s="20"/>
      <c r="J12" s="20"/>
      <c r="K12" s="71"/>
      <c r="L12" s="132"/>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row>
    <row r="13" spans="1:42" ht="16.5" customHeight="1" thickBot="1" x14ac:dyDescent="0.75">
      <c r="A13" s="20"/>
      <c r="B13" s="22" t="s">
        <v>144</v>
      </c>
      <c r="C13" s="22"/>
      <c r="D13" s="22"/>
      <c r="E13" s="165" t="s">
        <v>25</v>
      </c>
      <c r="F13" s="54"/>
      <c r="G13" s="20"/>
      <c r="H13" s="20"/>
      <c r="I13" s="20"/>
      <c r="J13" s="20"/>
      <c r="K13" s="72"/>
      <c r="L13" s="133"/>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spans="1:42" ht="4.6500000000000004" customHeight="1" thickBot="1" x14ac:dyDescent="0.75">
      <c r="A14" s="20"/>
      <c r="B14" s="22"/>
      <c r="C14" s="22"/>
      <c r="D14" s="22"/>
      <c r="E14" s="22"/>
      <c r="F14" s="22"/>
      <c r="G14" s="22"/>
      <c r="H14" s="22"/>
      <c r="I14" s="20"/>
      <c r="J14" s="20"/>
      <c r="K14" s="20"/>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spans="1:42" ht="16.5" customHeight="1" thickTop="1" x14ac:dyDescent="0.7">
      <c r="A15" s="20"/>
      <c r="B15" s="22" t="s">
        <v>108</v>
      </c>
      <c r="D15" s="24"/>
      <c r="E15" s="53" t="s">
        <v>2</v>
      </c>
      <c r="F15" s="64" t="s">
        <v>30</v>
      </c>
      <c r="G15" s="22"/>
      <c r="H15" s="53" t="s">
        <v>2</v>
      </c>
      <c r="I15" s="20"/>
      <c r="J15" s="20"/>
      <c r="K15" s="160"/>
      <c r="L15" s="138" t="s">
        <v>139</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2" ht="4.6500000000000004" customHeight="1" thickBot="1" x14ac:dyDescent="0.75">
      <c r="A16" s="20"/>
      <c r="B16" s="22"/>
      <c r="C16" s="22"/>
      <c r="D16" s="22"/>
      <c r="E16" s="22"/>
      <c r="F16" s="22"/>
      <c r="G16" s="22"/>
      <c r="H16" s="22"/>
      <c r="I16" s="22"/>
      <c r="J16" s="20"/>
      <c r="K16" s="161"/>
      <c r="L16" s="13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2" ht="19.8" customHeight="1" x14ac:dyDescent="0.7">
      <c r="A17" s="166"/>
      <c r="B17" s="167" t="s">
        <v>140</v>
      </c>
      <c r="C17" s="167"/>
      <c r="D17" s="167"/>
      <c r="E17" s="53" t="s">
        <v>2</v>
      </c>
      <c r="F17" s="22"/>
      <c r="G17" s="22"/>
      <c r="H17" s="22"/>
      <c r="I17" s="22"/>
      <c r="J17" s="20"/>
      <c r="K17" s="161"/>
      <c r="L17" s="13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2" ht="32.4" customHeight="1" thickBot="1" x14ac:dyDescent="0.75">
      <c r="A18" s="166"/>
      <c r="B18" s="167"/>
      <c r="C18" s="167"/>
      <c r="D18" s="167"/>
      <c r="E18" s="168"/>
      <c r="F18" s="22"/>
      <c r="G18" s="22"/>
      <c r="H18" s="22"/>
      <c r="I18" s="22"/>
      <c r="J18" s="22"/>
      <c r="K18" s="161"/>
      <c r="L18" s="13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2" ht="16.5" customHeight="1" thickBot="1" x14ac:dyDescent="0.75">
      <c r="A19" s="20"/>
      <c r="B19" s="22" t="str">
        <f>IF(H15="yes","*How many electricity units do you receive for free as indigent benefit?","")</f>
        <v/>
      </c>
      <c r="C19" s="22"/>
      <c r="H19" s="53"/>
      <c r="I19" s="65" t="s">
        <v>103</v>
      </c>
      <c r="J19" s="22"/>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2" ht="4.6500000000000004" customHeight="1" thickTop="1" x14ac:dyDescent="0.7">
      <c r="A20" s="20"/>
      <c r="B20" s="22"/>
      <c r="C20" s="22"/>
      <c r="D20" s="22"/>
      <c r="E20" s="22"/>
      <c r="F20" s="22"/>
      <c r="G20" s="22"/>
      <c r="H20" s="22"/>
      <c r="I20" s="20"/>
      <c r="J20" s="20"/>
      <c r="K20" s="70" t="s">
        <v>110</v>
      </c>
      <c r="L20" s="131" t="s">
        <v>120</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row>
    <row r="21" spans="1:42" ht="16.5" customHeight="1" thickBot="1" x14ac:dyDescent="0.75">
      <c r="A21" s="20"/>
      <c r="B21" s="21" t="s">
        <v>3</v>
      </c>
      <c r="C21" s="21"/>
      <c r="D21" s="22"/>
      <c r="E21" s="22"/>
      <c r="F21" s="22"/>
      <c r="G21" s="22"/>
      <c r="H21" s="22"/>
      <c r="I21" s="25"/>
      <c r="J21" s="20"/>
      <c r="K21" s="71"/>
      <c r="L21" s="132"/>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row>
    <row r="22" spans="1:42" ht="16.5" customHeight="1" thickBot="1" x14ac:dyDescent="0.75">
      <c r="A22" s="20"/>
      <c r="B22" s="22" t="s">
        <v>18</v>
      </c>
      <c r="C22" s="22"/>
      <c r="D22" s="22"/>
      <c r="E22" s="22"/>
      <c r="F22" s="55"/>
      <c r="G22" s="26"/>
      <c r="H22" s="26"/>
      <c r="I22" s="26"/>
      <c r="J22" s="20"/>
      <c r="K22" s="72"/>
      <c r="L22" s="133"/>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spans="1:42" ht="4.6500000000000004" customHeight="1" thickBot="1" x14ac:dyDescent="0.75">
      <c r="A23" s="20"/>
      <c r="B23" s="22"/>
      <c r="C23" s="22"/>
      <c r="D23" s="22"/>
      <c r="E23" s="22"/>
      <c r="F23" s="22"/>
      <c r="G23" s="22"/>
      <c r="H23" s="22"/>
      <c r="I23" s="26"/>
      <c r="J23" s="20"/>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row>
    <row r="24" spans="1:42" ht="16.5" customHeight="1" thickTop="1" x14ac:dyDescent="0.7">
      <c r="A24" s="20"/>
      <c r="B24" s="22" t="s">
        <v>4</v>
      </c>
      <c r="C24" s="22"/>
      <c r="D24" s="22"/>
      <c r="E24" s="22"/>
      <c r="F24" s="124"/>
      <c r="G24" s="125"/>
      <c r="H24" s="126"/>
      <c r="I24" s="26"/>
      <c r="J24" s="20"/>
      <c r="K24" s="70" t="s">
        <v>110</v>
      </c>
      <c r="L24" s="131" t="s">
        <v>119</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row>
    <row r="25" spans="1:42" ht="4.6500000000000004" customHeight="1" thickBot="1" x14ac:dyDescent="0.75">
      <c r="A25" s="20"/>
      <c r="B25" s="22"/>
      <c r="C25" s="22"/>
      <c r="D25" s="22"/>
      <c r="E25" s="22"/>
      <c r="F25" s="22"/>
      <c r="G25" s="22"/>
      <c r="H25" s="22"/>
      <c r="I25" s="26"/>
      <c r="J25" s="20"/>
      <c r="K25" s="71"/>
      <c r="L25" s="132"/>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1:42" ht="16.5" customHeight="1" thickBot="1" x14ac:dyDescent="0.75">
      <c r="A26" s="20"/>
      <c r="B26" s="22" t="s">
        <v>104</v>
      </c>
      <c r="C26" s="22"/>
      <c r="D26" s="22"/>
      <c r="E26" s="22"/>
      <c r="F26" s="55"/>
      <c r="G26" s="65" t="s">
        <v>106</v>
      </c>
      <c r="H26" s="26"/>
      <c r="I26" s="26"/>
      <c r="J26" s="20"/>
      <c r="K26" s="72"/>
      <c r="L26" s="133"/>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spans="1:42" ht="4.6500000000000004" customHeight="1" thickBot="1" x14ac:dyDescent="0.75">
      <c r="A27" s="20"/>
      <c r="B27" s="22"/>
      <c r="C27" s="22"/>
      <c r="D27" s="22"/>
      <c r="E27" s="22"/>
      <c r="F27" s="22"/>
      <c r="G27" s="22"/>
      <c r="H27" s="22"/>
      <c r="I27" s="26"/>
      <c r="J27" s="20"/>
      <c r="K27" s="20"/>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spans="1:42" ht="16.5" customHeight="1" thickTop="1" x14ac:dyDescent="0.7">
      <c r="A28" s="20"/>
      <c r="B28" s="22" t="s">
        <v>22</v>
      </c>
      <c r="C28" s="22"/>
      <c r="D28" s="22"/>
      <c r="E28" s="22"/>
      <c r="F28" s="55"/>
      <c r="G28" s="65" t="s">
        <v>27</v>
      </c>
      <c r="H28" s="26"/>
      <c r="I28" s="26"/>
      <c r="J28" s="20"/>
      <c r="K28" s="70" t="s">
        <v>110</v>
      </c>
      <c r="L28" s="131" t="s">
        <v>118</v>
      </c>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spans="1:42" ht="4.6500000000000004" customHeight="1" thickBot="1" x14ac:dyDescent="0.75">
      <c r="A29" s="20"/>
      <c r="B29" s="22"/>
      <c r="C29" s="22"/>
      <c r="D29" s="22"/>
      <c r="E29" s="22"/>
      <c r="F29" s="22"/>
      <c r="G29" s="26"/>
      <c r="H29" s="26"/>
      <c r="I29" s="26"/>
      <c r="J29" s="20"/>
      <c r="K29" s="71"/>
      <c r="L29" s="132"/>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spans="1:42" ht="16.5" customHeight="1" thickBot="1" x14ac:dyDescent="0.75">
      <c r="A30" s="20"/>
      <c r="B30" s="22" t="s">
        <v>23</v>
      </c>
      <c r="C30" s="22"/>
      <c r="D30" s="22"/>
      <c r="E30" s="22"/>
      <c r="F30" s="55"/>
      <c r="G30" s="26"/>
      <c r="H30" s="26"/>
      <c r="I30" s="26"/>
      <c r="J30" s="20"/>
      <c r="K30" s="72"/>
      <c r="L30" s="133"/>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row>
    <row r="31" spans="1:42" ht="4.6500000000000004" customHeight="1" thickBot="1" x14ac:dyDescent="0.75">
      <c r="A31" s="20"/>
      <c r="B31" s="22"/>
      <c r="C31" s="22"/>
      <c r="D31" s="22"/>
      <c r="E31" s="22"/>
      <c r="F31" s="22"/>
      <c r="G31" s="22"/>
      <c r="H31" s="22"/>
      <c r="I31" s="26"/>
      <c r="J31" s="20"/>
      <c r="K31" s="19"/>
      <c r="L31" s="9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spans="1:42" ht="16.5" customHeight="1" thickTop="1" thickBot="1" x14ac:dyDescent="0.75">
      <c r="A32" s="20"/>
      <c r="B32" s="21" t="s">
        <v>5</v>
      </c>
      <c r="C32" s="21"/>
      <c r="D32" s="22"/>
      <c r="E32" s="22"/>
      <c r="F32" s="22"/>
      <c r="G32" s="22"/>
      <c r="H32" s="22"/>
      <c r="I32" s="26"/>
      <c r="J32" s="20"/>
      <c r="K32" s="70" t="s">
        <v>110</v>
      </c>
      <c r="L32" s="131" t="s">
        <v>115</v>
      </c>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row>
    <row r="33" spans="1:42" ht="16.5" customHeight="1" x14ac:dyDescent="0.7">
      <c r="A33" s="20"/>
      <c r="B33" s="22" t="s">
        <v>111</v>
      </c>
      <c r="D33" s="24"/>
      <c r="F33" s="53"/>
      <c r="G33" s="22"/>
      <c r="H33" s="22"/>
      <c r="I33" s="26"/>
      <c r="J33" s="20"/>
      <c r="K33" s="71"/>
      <c r="L33" s="132"/>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row>
    <row r="34" spans="1:42" ht="3.9" customHeight="1" thickBot="1" x14ac:dyDescent="0.75">
      <c r="A34" s="20"/>
      <c r="B34" s="21"/>
      <c r="C34" s="21"/>
      <c r="D34" s="22"/>
      <c r="E34" s="22"/>
      <c r="F34" s="22"/>
      <c r="G34" s="22"/>
      <c r="H34" s="22"/>
      <c r="I34" s="26"/>
      <c r="J34" s="20"/>
      <c r="K34" s="19"/>
      <c r="L34" s="92"/>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row>
    <row r="35" spans="1:42" ht="16.5" customHeight="1" thickTop="1" x14ac:dyDescent="0.7">
      <c r="A35" s="20"/>
      <c r="B35" s="22" t="s">
        <v>93</v>
      </c>
      <c r="C35" s="22"/>
      <c r="D35" s="22"/>
      <c r="E35" s="22"/>
      <c r="F35" s="124"/>
      <c r="G35" s="126"/>
      <c r="H35" s="26"/>
      <c r="I35" s="26"/>
      <c r="J35" s="20"/>
      <c r="K35" s="96"/>
      <c r="L35" s="134" t="s">
        <v>117</v>
      </c>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row>
    <row r="36" spans="1:42" ht="4.6500000000000004" customHeight="1" thickBot="1" x14ac:dyDescent="0.75">
      <c r="A36" s="20"/>
      <c r="B36" s="22"/>
      <c r="C36" s="22"/>
      <c r="D36" s="22"/>
      <c r="E36" s="22"/>
      <c r="F36" s="22"/>
      <c r="G36" s="26"/>
      <c r="H36" s="26"/>
      <c r="I36" s="26"/>
      <c r="J36" s="20"/>
      <c r="K36" s="71"/>
      <c r="L36" s="132"/>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row>
    <row r="37" spans="1:42" ht="16.5" customHeight="1" thickBot="1" x14ac:dyDescent="0.75">
      <c r="A37" s="20"/>
      <c r="B37" s="22" t="s">
        <v>6</v>
      </c>
      <c r="C37" s="22"/>
      <c r="D37" s="22"/>
      <c r="E37" s="22"/>
      <c r="F37" s="124"/>
      <c r="G37" s="126"/>
      <c r="H37" s="26"/>
      <c r="I37" s="26"/>
      <c r="J37" s="20"/>
      <c r="K37" s="72"/>
      <c r="L37" s="133"/>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row>
    <row r="38" spans="1:42" ht="4.6500000000000004" customHeight="1" thickBot="1" x14ac:dyDescent="0.75">
      <c r="A38" s="20"/>
      <c r="B38" s="22"/>
      <c r="C38" s="22"/>
      <c r="D38" s="22"/>
      <c r="E38" s="22"/>
      <c r="F38" s="22"/>
      <c r="G38" s="26"/>
      <c r="H38" s="26"/>
      <c r="I38" s="26"/>
      <c r="J38" s="20"/>
      <c r="K38" s="20"/>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row>
    <row r="39" spans="1:42" ht="16.5" customHeight="1" thickTop="1" x14ac:dyDescent="0.7">
      <c r="A39" s="20"/>
      <c r="B39" s="22" t="s">
        <v>105</v>
      </c>
      <c r="C39" s="22"/>
      <c r="D39" s="22"/>
      <c r="E39" s="22"/>
      <c r="F39" s="55"/>
      <c r="G39" s="103" t="s">
        <v>127</v>
      </c>
      <c r="H39" s="104" t="s">
        <v>25</v>
      </c>
      <c r="I39" s="55"/>
      <c r="J39" s="65" t="s">
        <v>122</v>
      </c>
      <c r="K39" s="70" t="s">
        <v>110</v>
      </c>
      <c r="L39" s="131" t="s">
        <v>115</v>
      </c>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row>
    <row r="40" spans="1:42" ht="17.100000000000001" customHeight="1" x14ac:dyDescent="0.7">
      <c r="A40" s="20"/>
      <c r="B40" s="22"/>
      <c r="C40" s="22"/>
      <c r="D40" s="22"/>
      <c r="E40" s="22"/>
      <c r="F40" s="102"/>
      <c r="G40" s="65"/>
      <c r="H40" s="26"/>
      <c r="I40" s="26"/>
      <c r="K40" s="101"/>
      <c r="L40" s="132"/>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row>
    <row r="41" spans="1:42" ht="3.9" customHeight="1" thickBot="1" x14ac:dyDescent="0.75">
      <c r="A41" s="20"/>
      <c r="B41" s="22"/>
      <c r="C41" s="22"/>
      <c r="D41" s="22"/>
      <c r="E41" s="22"/>
      <c r="F41" s="22"/>
      <c r="G41" s="22"/>
      <c r="H41" s="22"/>
      <c r="I41" s="20"/>
      <c r="J41" s="20"/>
      <c r="K41" s="94"/>
      <c r="L41" s="95"/>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row>
    <row r="42" spans="1:42" ht="15.75" customHeight="1" thickBot="1" x14ac:dyDescent="0.75">
      <c r="A42" s="20"/>
      <c r="B42" s="21" t="s">
        <v>7</v>
      </c>
      <c r="C42" s="21"/>
      <c r="D42" s="22"/>
      <c r="E42" s="22"/>
      <c r="F42" s="22"/>
      <c r="G42" s="22"/>
      <c r="H42" s="22"/>
      <c r="I42" s="20"/>
      <c r="J42" s="20"/>
      <c r="K42" s="19"/>
      <c r="L42" s="92"/>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spans="1:42" ht="16.5" customHeight="1" thickTop="1" x14ac:dyDescent="0.7">
      <c r="A43" s="20"/>
      <c r="B43" s="22" t="s">
        <v>19</v>
      </c>
      <c r="C43" s="22"/>
      <c r="D43" s="22"/>
      <c r="E43" s="22"/>
      <c r="F43" s="55"/>
      <c r="G43" s="27" t="s">
        <v>59</v>
      </c>
      <c r="H43" s="20"/>
      <c r="I43" s="20"/>
      <c r="J43" s="20"/>
      <c r="K43" s="70" t="s">
        <v>110</v>
      </c>
      <c r="L43" s="131" t="s">
        <v>116</v>
      </c>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1:42" ht="16.5" customHeight="1" x14ac:dyDescent="0.7">
      <c r="A44" s="20"/>
      <c r="B44" s="22"/>
      <c r="C44" s="22"/>
      <c r="D44" s="22"/>
      <c r="E44" s="22"/>
      <c r="F44" s="22"/>
      <c r="G44" s="22"/>
      <c r="H44" s="22"/>
      <c r="I44" s="20"/>
      <c r="J44" s="20"/>
      <c r="K44" s="71"/>
      <c r="L44" s="132"/>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spans="1:42" ht="4.6500000000000004" customHeight="1" thickBot="1" x14ac:dyDescent="0.75">
      <c r="A45" s="20"/>
      <c r="B45" s="22"/>
      <c r="C45" s="22"/>
      <c r="D45" s="22"/>
      <c r="E45" s="22"/>
      <c r="F45" s="22"/>
      <c r="G45" s="22"/>
      <c r="H45" s="22"/>
      <c r="I45" s="20"/>
      <c r="J45" s="20"/>
      <c r="K45" s="72"/>
      <c r="L45" s="133"/>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spans="1:42" ht="6.6" customHeight="1" x14ac:dyDescent="0.7">
      <c r="A46" s="20"/>
      <c r="B46" s="22"/>
      <c r="C46" s="22"/>
      <c r="D46" s="22"/>
      <c r="E46" s="22"/>
      <c r="F46" s="22"/>
      <c r="G46" s="22"/>
      <c r="H46" s="22"/>
      <c r="I46" s="20"/>
      <c r="J46" s="20"/>
      <c r="K46" s="20"/>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spans="1:42" ht="16.5" customHeight="1" x14ac:dyDescent="0.7">
      <c r="A47" s="20"/>
      <c r="B47" s="22"/>
      <c r="C47" s="22"/>
      <c r="D47" s="22"/>
      <c r="E47" s="22"/>
      <c r="F47" s="22"/>
      <c r="G47" s="22"/>
      <c r="H47" s="22"/>
      <c r="I47" s="20"/>
      <c r="J47" s="20"/>
      <c r="K47" s="20"/>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spans="1:42" ht="30.15" customHeight="1" x14ac:dyDescent="0.7">
      <c r="A48" s="22"/>
      <c r="B48" s="28" t="s">
        <v>8</v>
      </c>
      <c r="C48" s="29"/>
      <c r="D48" s="30"/>
      <c r="E48" s="22"/>
      <c r="F48" s="15" t="s">
        <v>28</v>
      </c>
      <c r="G48" s="31"/>
      <c r="H48" s="31"/>
      <c r="I48" s="31"/>
      <c r="J48" s="32"/>
      <c r="K48" s="32"/>
      <c r="L48" s="32"/>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2" ht="3.9" customHeight="1" x14ac:dyDescent="0.7">
      <c r="A49" s="22"/>
      <c r="B49" s="33"/>
      <c r="D49" s="34"/>
      <c r="E49" s="22"/>
      <c r="F49" s="35"/>
      <c r="J49" s="32"/>
      <c r="K49" s="32"/>
      <c r="L49" s="32"/>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2" ht="47.1" customHeight="1" x14ac:dyDescent="0.7">
      <c r="A50" s="22"/>
      <c r="B50" s="36" t="s">
        <v>9</v>
      </c>
      <c r="C50" s="37"/>
      <c r="D50" s="38"/>
      <c r="E50" s="22"/>
      <c r="F50" s="39" t="s">
        <v>15</v>
      </c>
      <c r="G50" s="40" t="s">
        <v>131</v>
      </c>
      <c r="H50" s="61" t="s">
        <v>107</v>
      </c>
      <c r="I50" s="40" t="s">
        <v>132</v>
      </c>
      <c r="L50" s="3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2" ht="17.100000000000001" customHeight="1" x14ac:dyDescent="0.7">
      <c r="A51" s="22"/>
      <c r="B51" s="41" t="s">
        <v>76</v>
      </c>
      <c r="C51" s="22"/>
      <c r="D51" s="46">
        <f>F7</f>
        <v>0</v>
      </c>
      <c r="E51" s="22"/>
      <c r="F51" s="41" t="s">
        <v>9</v>
      </c>
      <c r="G51" s="42">
        <f>IF(H15="Yes",Sheet2!B42,(IF(E15="Yes",IF(E17="Yes",Sheet2!B41,Sheet2!B40),Sheet2!B38)))</f>
        <v>0</v>
      </c>
      <c r="H51" s="58">
        <f t="shared" ref="H51:H55" si="0">IFERROR(((I51/G51)-1),0)</f>
        <v>0</v>
      </c>
      <c r="I51" s="42">
        <f>IF(Sheet2!C35&gt;(1.037*Calculator!G51),(1.037*Calculator!G51),Sheet2!C35)</f>
        <v>0</v>
      </c>
      <c r="L51" s="32"/>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2" ht="17.100000000000001" customHeight="1" x14ac:dyDescent="0.7">
      <c r="A52" s="22"/>
      <c r="B52" s="41" t="s">
        <v>77</v>
      </c>
      <c r="C52" s="22"/>
      <c r="D52" s="46">
        <f>F13</f>
        <v>0</v>
      </c>
      <c r="E52" s="22"/>
      <c r="F52" s="41" t="s">
        <v>16</v>
      </c>
      <c r="G52" s="42">
        <f>IF($F$24="Domestic - Flat tariff",($F$26*Sheet3!B55),IF(Calculator!$F$24="Domestic - Saron",($F$26*Sheet3!B56),VLOOKUP($F$26,Sheet3!$A$59:$B$179,2,FALSE)))*1.15</f>
        <v>0</v>
      </c>
      <c r="H52" s="59">
        <f t="shared" si="0"/>
        <v>0</v>
      </c>
      <c r="I52" s="42">
        <f>IF($F$24="Domestic - Flat tariff",($F$26*Sheet3!C55),IF(Calculator!$F$24="Domestic - Saron",($F$26*Sheet3!C56),VLOOKUP($F$26,Sheet3!$A$59:$C$179,3,FALSE)))*1.15</f>
        <v>0</v>
      </c>
      <c r="L52" s="32"/>
      <c r="M52" s="63"/>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2" ht="17.100000000000001" customHeight="1" x14ac:dyDescent="0.7">
      <c r="A53" s="22"/>
      <c r="B53" s="41" t="s">
        <v>24</v>
      </c>
      <c r="C53" s="22"/>
      <c r="D53" s="47" t="str">
        <f>E15</f>
        <v>No</v>
      </c>
      <c r="E53" s="22"/>
      <c r="F53" s="41" t="s">
        <v>21</v>
      </c>
      <c r="G53" s="42" t="e">
        <f>VLOOKUP($F$22,Sheet3!$A$6:$B$12,2,FALSE)*1.15</f>
        <v>#N/A</v>
      </c>
      <c r="H53" s="59">
        <f t="shared" si="0"/>
        <v>0</v>
      </c>
      <c r="I53" s="42" t="e">
        <f>VLOOKUP($F$22,Sheet3!$A$6:$C$12,3,FALSE)*1.15</f>
        <v>#N/A</v>
      </c>
      <c r="L53" s="32"/>
      <c r="M53" s="63"/>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2" ht="17.100000000000001" customHeight="1" x14ac:dyDescent="0.7">
      <c r="A54" s="22"/>
      <c r="B54" s="41" t="s">
        <v>78</v>
      </c>
      <c r="C54" s="22"/>
      <c r="D54" s="47" t="str">
        <f>H15</f>
        <v>No</v>
      </c>
      <c r="E54" s="22"/>
      <c r="F54" s="41" t="s">
        <v>17</v>
      </c>
      <c r="G54" s="42">
        <f>(Sheet2!B20+Sheet2!B21)*1.15</f>
        <v>232.09779166666664</v>
      </c>
      <c r="H54" s="59">
        <f t="shared" si="0"/>
        <v>4.5018559885048326E-2</v>
      </c>
      <c r="I54" s="42">
        <f>(Sheet2!C20+Sheet2!C21)*1.15</f>
        <v>242.54649999999995</v>
      </c>
      <c r="L54" s="32"/>
      <c r="M54" s="63"/>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2" ht="17.100000000000001" customHeight="1" x14ac:dyDescent="0.7">
      <c r="A55" s="22"/>
      <c r="B55" s="36" t="s">
        <v>3</v>
      </c>
      <c r="C55" s="37"/>
      <c r="D55" s="48"/>
      <c r="E55" s="22"/>
      <c r="F55" s="41" t="s">
        <v>7</v>
      </c>
      <c r="G55" s="42">
        <f>$F$43*Sheet3!B52*1.15</f>
        <v>0</v>
      </c>
      <c r="H55" s="59">
        <f t="shared" si="0"/>
        <v>0</v>
      </c>
      <c r="I55" s="42">
        <f>$F$43*Sheet3!C52*1.15</f>
        <v>0</v>
      </c>
      <c r="L55" s="32"/>
      <c r="M55" s="63"/>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2" ht="17.100000000000001" customHeight="1" x14ac:dyDescent="0.7">
      <c r="A56" s="22"/>
      <c r="B56" s="41" t="s">
        <v>10</v>
      </c>
      <c r="C56" s="22"/>
      <c r="D56" s="47">
        <f>F22</f>
        <v>0</v>
      </c>
      <c r="E56" s="22"/>
      <c r="F56" s="41" t="s">
        <v>26</v>
      </c>
      <c r="G56" s="42">
        <f>IF($F$35="1 Phase",(VLOOKUP($F$37,Sheet3!$A$22:$B$29,2,FALSE)),(IF($F$35="3 Phase",(VLOOKUP($F$37,Sheet3!$A$31:$B$40,2,FALSE)),0)))*1.15</f>
        <v>0</v>
      </c>
      <c r="H56" s="59">
        <f>IFERROR(((I56/G56)-1),0)</f>
        <v>0</v>
      </c>
      <c r="I56" s="42">
        <f>IF($F$35="1 Phase",(VLOOKUP($F$37,Sheet3!$A$22:$C$29,3,FALSE)),(IF($F$35="3 Phase",(VLOOKUP($F$37,Sheet3!$A$31:$C$40,3,FALSE)),0)))*1.15</f>
        <v>0</v>
      </c>
      <c r="L56" s="32"/>
      <c r="M56" s="63"/>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2" ht="17.100000000000001" customHeight="1" x14ac:dyDescent="0.7">
      <c r="A57" s="22"/>
      <c r="B57" s="41" t="s">
        <v>12</v>
      </c>
      <c r="C57" s="22"/>
      <c r="D57" s="47" t="str">
        <f>_xlfn.CONCAT(F26," kl")</f>
        <v xml:space="preserve"> kl</v>
      </c>
      <c r="E57" s="22"/>
      <c r="F57" s="50" t="s">
        <v>13</v>
      </c>
      <c r="G57" s="85">
        <f>IF(F33="Yes",0,IF($F$35="1 Phase",(Sheet3!B45*Sheet2!$F$33),IF($F$35="3 Phase",(Sheet3!B46*Sheet2!$F$33),(IF(Sheet2!$F$33&lt;=400,(Sheet2!$F$33*Sheet3!B43),(((Sheet2!$F$33-400)*Sheet3!B44)+(400*Sheet3!B43)))))))*1.15</f>
        <v>0</v>
      </c>
      <c r="H57" s="60">
        <f>IFERROR(((I57/G57)-1),0)</f>
        <v>0</v>
      </c>
      <c r="I57" s="85">
        <f>IF(F33="Yes",0,IF($F$35="1 Phase",(Sheet3!C45*Sheet2!$F$33),IF($F$35="3 Phase",(Sheet3!C46*Sheet2!$F$33),(IF(Sheet2!$F$33&lt;=400,(Sheet2!$F$33*Sheet3!C43),(((Sheet2!$F$33-400)*Sheet3!C44)+(400*Sheet3!C43)))))))*1.15</f>
        <v>0</v>
      </c>
      <c r="L57" s="32"/>
      <c r="M57" s="63"/>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2" ht="43.2" customHeight="1" x14ac:dyDescent="0.7">
      <c r="A58" s="22"/>
      <c r="B58" s="41" t="s">
        <v>79</v>
      </c>
      <c r="C58" s="24"/>
      <c r="D58" s="49">
        <f>F24</f>
        <v>0</v>
      </c>
      <c r="E58" s="22"/>
      <c r="F58" s="66" t="s">
        <v>109</v>
      </c>
      <c r="G58" s="136">
        <f>IF((F74+F75)&gt;0,0,F74+F75)</f>
        <v>0</v>
      </c>
      <c r="H58" s="67"/>
      <c r="I58" s="136">
        <f>IF((G74+G75)&gt;0,0,G74+G75)</f>
        <v>0</v>
      </c>
      <c r="J58" s="57"/>
      <c r="K58" s="57"/>
      <c r="L58" s="32"/>
      <c r="M58" s="63"/>
      <c r="N58" s="62"/>
      <c r="O58" s="62"/>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2" ht="17.100000000000001" customHeight="1" thickBot="1" x14ac:dyDescent="0.75">
      <c r="A59" s="22"/>
      <c r="B59" s="41" t="s">
        <v>81</v>
      </c>
      <c r="C59" s="22"/>
      <c r="D59" s="47" t="str">
        <f>_xlfn.CONCAT(F28," m²")</f>
        <v xml:space="preserve"> m²</v>
      </c>
      <c r="E59" s="22"/>
      <c r="F59" s="69" t="s">
        <v>20</v>
      </c>
      <c r="G59" s="68">
        <f>IF($H$15="Yes",((-SUM(Sheet2!B26:B29)*1.15)-(Sheet2!B25)),0)</f>
        <v>0</v>
      </c>
      <c r="H59" s="67"/>
      <c r="I59" s="68">
        <f>IF($H$15="Yes",((-SUM(Sheet2!C26:C29)*1.15)-(Sheet2!C25)),0)</f>
        <v>0</v>
      </c>
      <c r="J59" s="57"/>
      <c r="K59" s="57"/>
      <c r="L59" s="32"/>
      <c r="M59" s="62"/>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2" ht="17.100000000000001" customHeight="1" thickBot="1" x14ac:dyDescent="0.75">
      <c r="A60" s="22"/>
      <c r="B60" s="41" t="s">
        <v>54</v>
      </c>
      <c r="C60" s="22"/>
      <c r="D60" s="47">
        <f>F30</f>
        <v>0</v>
      </c>
      <c r="E60" s="22"/>
      <c r="F60" s="45" t="s">
        <v>121</v>
      </c>
      <c r="G60" s="44" t="e">
        <f>SUM(G51:G59)</f>
        <v>#N/A</v>
      </c>
      <c r="I60" s="44" t="e">
        <f>SUM(I51:I59)</f>
        <v>#N/A</v>
      </c>
      <c r="J60" s="57"/>
      <c r="K60" s="57"/>
      <c r="L60" s="32"/>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2" ht="17.100000000000001" customHeight="1" x14ac:dyDescent="0.7">
      <c r="A61" s="22"/>
      <c r="B61" s="36" t="s">
        <v>7</v>
      </c>
      <c r="C61" s="37"/>
      <c r="D61" s="48"/>
      <c r="E61" s="22"/>
      <c r="F61" s="22"/>
      <c r="G61" s="99"/>
      <c r="I61" s="99"/>
      <c r="J61" s="57"/>
      <c r="K61" s="57"/>
      <c r="L61" s="32"/>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2" ht="17.100000000000001" customHeight="1" x14ac:dyDescent="0.7">
      <c r="A62" s="22"/>
      <c r="B62" s="41" t="s">
        <v>14</v>
      </c>
      <c r="C62" s="22"/>
      <c r="D62" s="47">
        <f>F43</f>
        <v>0</v>
      </c>
      <c r="E62" s="22"/>
      <c r="F62" s="23"/>
      <c r="G62" s="100"/>
      <c r="I62" s="100"/>
      <c r="J62" s="57"/>
      <c r="K62" s="57"/>
      <c r="L62" s="22"/>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row>
    <row r="63" spans="1:42" ht="17.100000000000001" customHeight="1" x14ac:dyDescent="0.7">
      <c r="A63" s="22"/>
      <c r="B63" s="36" t="s">
        <v>5</v>
      </c>
      <c r="C63" s="37"/>
      <c r="D63" s="48"/>
      <c r="E63" s="22"/>
      <c r="F63" s="127" t="str">
        <f>IF(E15="Yes","* All property owners sixty years and older qualify for an automatic 5% rebates on rates payable from 01 July 2026","")</f>
        <v/>
      </c>
      <c r="G63" s="127"/>
      <c r="H63" s="127"/>
      <c r="I63" s="127"/>
      <c r="J63" s="22"/>
      <c r="K63" s="22"/>
      <c r="L63" s="22"/>
      <c r="M63" s="32"/>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row>
    <row r="64" spans="1:42" ht="17.100000000000001" customHeight="1" x14ac:dyDescent="0.7">
      <c r="A64" s="22"/>
      <c r="B64" s="41" t="s">
        <v>80</v>
      </c>
      <c r="C64" s="22"/>
      <c r="D64" s="49">
        <f>F35</f>
        <v>0</v>
      </c>
      <c r="E64" s="22"/>
      <c r="F64" s="127"/>
      <c r="G64" s="127"/>
      <c r="H64" s="127"/>
      <c r="I64" s="127"/>
      <c r="J64" s="22"/>
      <c r="K64" s="22"/>
      <c r="L64" s="22"/>
      <c r="M64" s="32"/>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row>
    <row r="65" spans="1:42" ht="39" customHeight="1" x14ac:dyDescent="0.7">
      <c r="A65" s="22"/>
      <c r="B65" s="41" t="s">
        <v>102</v>
      </c>
      <c r="C65" s="22"/>
      <c r="D65" s="49">
        <f>F37</f>
        <v>0</v>
      </c>
      <c r="E65" s="22"/>
      <c r="F65" s="158" t="str">
        <f>IF(E17="Yes","** Property owners sixty years and older that qualifies in terms of sec 11.2.2 of the Property rates Policy, qualify for an additional 10% rebates on rates payable from 01 July 2026","")</f>
        <v/>
      </c>
      <c r="G65" s="158"/>
      <c r="H65" s="158"/>
      <c r="I65" s="158"/>
      <c r="J65" s="22"/>
      <c r="K65" s="22"/>
      <c r="L65" s="22"/>
      <c r="M65" s="32"/>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row>
    <row r="66" spans="1:42" ht="31.5" customHeight="1" x14ac:dyDescent="0.7">
      <c r="A66" s="22"/>
      <c r="B66" s="50" t="s">
        <v>13</v>
      </c>
      <c r="C66" s="51"/>
      <c r="D66" s="52" t="str">
        <f>IF(F39&lt;&gt;"",_xlfn.CONCAT(F39," kWh"),_xlfn.CONCAT(ROUND(Sheet2!G33,0)," kWh"))</f>
        <v>0 kWh</v>
      </c>
      <c r="E66" s="22"/>
      <c r="F66" s="39" t="s">
        <v>112</v>
      </c>
      <c r="G66" s="40" t="s">
        <v>125</v>
      </c>
      <c r="H66" s="61" t="s">
        <v>107</v>
      </c>
      <c r="I66" s="40" t="s">
        <v>124</v>
      </c>
      <c r="J66" s="22"/>
      <c r="K66" s="22"/>
      <c r="L66" s="22"/>
      <c r="M66" s="32"/>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row>
    <row r="67" spans="1:42" ht="17.100000000000001" customHeight="1" x14ac:dyDescent="0.7">
      <c r="A67" s="22"/>
      <c r="E67" s="22"/>
      <c r="F67" s="41" t="s">
        <v>112</v>
      </c>
      <c r="G67" s="42">
        <f>IF(F33="Yes",IF($F$35="1 Phase",(Sheet3!B45*Sheet2!$F$33),IF($F$35="3 Phase",(Sheet3!B46*Sheet2!$F$33),(IF(Sheet2!$F$33&lt;=400,(Sheet2!$F$33*Sheet3!B43),(((Sheet2!$F$33-400)*Sheet3!B44)+(400*Sheet3!B43)))))),0)*1.15</f>
        <v>0</v>
      </c>
      <c r="H67" s="59">
        <f t="shared" ref="H67" si="1">IFERROR(((I67/G67)-1),0)</f>
        <v>0</v>
      </c>
      <c r="I67" s="42">
        <f>IF(F33="Yes",IF($F$35="1 Phase",(Sheet3!C45*Sheet2!$F$33),IF($F$35="3 Phase",(Sheet3!C46*Sheet2!$F$33),(IF(Sheet2!$F$33&lt;=400,(Sheet2!$F$33*Sheet3!C43),(((Sheet2!$F$33-400)*Sheet3!C44)+(400*Sheet3!C43)))))),0)*1.15</f>
        <v>0</v>
      </c>
      <c r="J67" s="22"/>
      <c r="K67" s="22"/>
      <c r="L67" s="22"/>
      <c r="M67" s="32"/>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spans="1:42" ht="17.100000000000001" customHeight="1" thickBot="1" x14ac:dyDescent="0.75">
      <c r="A68" s="22"/>
      <c r="E68" s="22"/>
      <c r="F68" s="69" t="s">
        <v>114</v>
      </c>
      <c r="G68" s="68">
        <f>IF($H$15="Yes",-Sheet2!B33,0)*1.15</f>
        <v>0</v>
      </c>
      <c r="H68" s="67"/>
      <c r="I68" s="68">
        <f>IF($H$15="Yes",-Sheet2!C33,0)*1.15</f>
        <v>0</v>
      </c>
      <c r="J68" s="22"/>
      <c r="K68" s="22"/>
      <c r="L68" s="22"/>
      <c r="M68" s="32"/>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spans="1:42" ht="20.25" customHeight="1" thickBot="1" x14ac:dyDescent="0.75">
      <c r="A69" s="22"/>
      <c r="B69" s="128" t="str">
        <f>IF(F33="Yes","Total bill and prepaid increase per month  (2025/26 to 2026/27)","Total bill increase per month (2025/26 to 2026/27)")</f>
        <v>Total bill increase per month (2025/26 to 2026/27)</v>
      </c>
      <c r="C69" s="86"/>
      <c r="D69" s="87" t="e">
        <f>(I60+I69)-(G60+G69)</f>
        <v>#N/A</v>
      </c>
      <c r="F69" s="43" t="s">
        <v>123</v>
      </c>
      <c r="G69" s="44">
        <f>SUM(G67:G68)</f>
        <v>0</v>
      </c>
      <c r="I69" s="44">
        <f>SUM(I67:I68)</f>
        <v>0</v>
      </c>
      <c r="J69" s="22"/>
      <c r="K69" s="22"/>
      <c r="L69" s="22"/>
      <c r="M69" s="32"/>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spans="1:42" ht="17.100000000000001" customHeight="1" x14ac:dyDescent="0.7">
      <c r="A70" s="22"/>
      <c r="B70" s="129"/>
      <c r="C70" s="88"/>
      <c r="D70" s="89" t="s">
        <v>100</v>
      </c>
      <c r="E70" s="22"/>
      <c r="F70" s="22"/>
      <c r="G70" s="99"/>
      <c r="I70" s="99"/>
      <c r="J70" s="22"/>
      <c r="K70" s="22"/>
      <c r="L70" s="22"/>
      <c r="M70" s="32"/>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spans="1:42" ht="16.5" customHeight="1" thickBot="1" x14ac:dyDescent="0.75">
      <c r="A71" s="22"/>
      <c r="B71" s="130"/>
      <c r="C71" s="90"/>
      <c r="D71" s="91">
        <f>IFERROR((((I60+I69)/(G60+G69))-1),0)</f>
        <v>0</v>
      </c>
      <c r="E71" s="22"/>
      <c r="F71" s="23"/>
      <c r="G71" s="100"/>
      <c r="I71" s="100"/>
      <c r="J71" s="22"/>
      <c r="K71" s="22"/>
      <c r="L71" s="32"/>
      <c r="M71" s="32"/>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spans="1:42" ht="17.100000000000001" customHeight="1" thickBot="1" x14ac:dyDescent="0.75">
      <c r="A72" s="22"/>
      <c r="E72" s="22"/>
      <c r="F72" s="23"/>
      <c r="G72" s="100"/>
      <c r="I72" s="100"/>
      <c r="J72" s="22"/>
      <c r="K72" s="22"/>
      <c r="L72" s="22"/>
      <c r="M72" s="32"/>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spans="1:42" ht="49.8" customHeight="1" thickBot="1" x14ac:dyDescent="0.75">
      <c r="A73" s="153"/>
      <c r="B73" s="118" t="s">
        <v>128</v>
      </c>
      <c r="C73" s="119"/>
      <c r="D73" s="120"/>
      <c r="E73" s="22"/>
      <c r="F73" s="23"/>
      <c r="G73" s="100"/>
      <c r="I73" s="100"/>
      <c r="J73" s="22"/>
      <c r="K73" s="22"/>
      <c r="L73" s="22"/>
      <c r="M73" s="32"/>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spans="1:42" x14ac:dyDescent="0.7">
      <c r="B74" s="114" t="s">
        <v>126</v>
      </c>
      <c r="C74" s="110"/>
      <c r="D74" s="116">
        <f>I51</f>
        <v>0</v>
      </c>
      <c r="E74" s="22"/>
      <c r="F74" s="105">
        <f>ROUND(IF($E$15="Yes",IF($H$15="Yes",MAX(((-G51+Sheet2!B25)*15%),(-(SUM(G51:G57)+G59+G67+G68))),MAX((-G51*5%),(-SUM(G51:G57)+G59))),0),2)</f>
        <v>0</v>
      </c>
      <c r="G74" s="105">
        <f>ROUND(IF($E$15="Yes",IF($H$15="Yes",MAX(((-I51+Sheet2!C25)*15%),(-(SUM(I51:I57)+I59+I67+I68))),MAX((-I51*5%),(-SUM(I51:I57)+I59))),0),2)</f>
        <v>0</v>
      </c>
      <c r="H74" s="22"/>
      <c r="I74" s="22"/>
      <c r="J74" s="20"/>
      <c r="K74" s="20"/>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spans="1:42" ht="46.8" x14ac:dyDescent="0.7">
      <c r="A75" s="154"/>
      <c r="B75" s="115" t="s">
        <v>129</v>
      </c>
      <c r="C75" s="109"/>
      <c r="D75" s="117">
        <f>(F13-Sheet3!C3)*Sheet3!C2/12</f>
        <v>-181.65</v>
      </c>
      <c r="E75" s="22"/>
      <c r="F75" s="164">
        <f>IF($H$15="No",ROUND(IF($E$17="Yes",(-G51*10%),0),2),0)</f>
        <v>0</v>
      </c>
      <c r="G75" s="164">
        <f>IF($H$15="No",ROUND(IF($E$17="Yes",(-I51*10%),0),2),0)</f>
        <v>0</v>
      </c>
      <c r="H75" s="22"/>
      <c r="I75" s="22"/>
      <c r="J75" s="20"/>
      <c r="K75" s="20"/>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spans="1:42" ht="5.85" customHeight="1" x14ac:dyDescent="0.7">
      <c r="A76" s="154"/>
      <c r="B76" s="107"/>
      <c r="C76" s="106"/>
      <c r="D76" s="112"/>
      <c r="E76" s="22"/>
      <c r="F76" s="20"/>
      <c r="G76" s="20"/>
      <c r="H76" s="20"/>
      <c r="I76" s="20"/>
      <c r="J76" s="20"/>
      <c r="K76" s="20"/>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spans="1:42" ht="23.55" customHeight="1" thickBot="1" x14ac:dyDescent="0.75">
      <c r="A77" s="154"/>
      <c r="B77" s="108" t="s">
        <v>130</v>
      </c>
      <c r="C77" s="111"/>
      <c r="D77" s="113">
        <f>D75-D74</f>
        <v>-181.65</v>
      </c>
      <c r="E77" s="20"/>
      <c r="F77" s="156"/>
      <c r="G77" s="20"/>
      <c r="H77" s="20"/>
      <c r="I77" s="20"/>
      <c r="J77" s="20"/>
      <c r="K77" s="20"/>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spans="1:42" ht="16.5" customHeight="1" x14ac:dyDescent="0.7">
      <c r="A78" s="154"/>
      <c r="B78" s="20"/>
      <c r="C78" s="20"/>
      <c r="D78" s="20"/>
      <c r="E78" s="20"/>
      <c r="F78" s="20"/>
      <c r="G78" s="20"/>
      <c r="H78" s="20"/>
      <c r="I78" s="20"/>
      <c r="J78" s="20"/>
      <c r="K78" s="20"/>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spans="1:42" ht="16.5" customHeight="1" x14ac:dyDescent="0.7">
      <c r="A79" s="20"/>
      <c r="B79" s="20"/>
      <c r="C79" s="20"/>
      <c r="D79" s="20"/>
      <c r="E79" s="20"/>
      <c r="F79" s="20"/>
      <c r="G79" s="20"/>
      <c r="H79" s="20"/>
      <c r="I79" s="20"/>
      <c r="J79" s="20"/>
      <c r="K79" s="20"/>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spans="1:42" ht="16.5" customHeight="1" x14ac:dyDescent="0.7">
      <c r="A80" s="20"/>
      <c r="B80" s="20"/>
      <c r="C80" s="20"/>
      <c r="D80" s="20"/>
      <c r="E80" s="20"/>
      <c r="F80" s="20"/>
      <c r="G80" s="20"/>
      <c r="H80" s="20"/>
      <c r="I80" s="20"/>
      <c r="J80" s="20"/>
      <c r="K80" s="20"/>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spans="1:42" ht="16.5" customHeight="1" x14ac:dyDescent="0.7">
      <c r="A81" s="20"/>
      <c r="B81" s="20"/>
      <c r="C81" s="20"/>
      <c r="D81" s="20"/>
      <c r="E81" s="20"/>
      <c r="F81" s="20"/>
      <c r="G81" s="20"/>
      <c r="H81" s="20"/>
      <c r="I81" s="20"/>
      <c r="J81" s="20"/>
      <c r="K81" s="20"/>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spans="1:42" ht="16.5" customHeight="1" x14ac:dyDescent="0.7">
      <c r="A82" s="20"/>
      <c r="B82" s="20"/>
      <c r="C82" s="20"/>
      <c r="D82" s="20"/>
      <c r="E82" s="20"/>
      <c r="F82" s="20"/>
      <c r="G82" s="20"/>
      <c r="H82" s="20"/>
      <c r="I82" s="20"/>
      <c r="J82" s="20"/>
      <c r="K82" s="20"/>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spans="1:42" ht="16.5" customHeight="1" x14ac:dyDescent="0.7">
      <c r="A83" s="20"/>
      <c r="B83" s="20"/>
      <c r="C83" s="20"/>
      <c r="D83" s="20"/>
      <c r="E83" s="20"/>
      <c r="F83" s="20"/>
      <c r="G83" s="20"/>
      <c r="H83" s="20"/>
      <c r="I83" s="20"/>
      <c r="J83" s="20"/>
      <c r="K83" s="20"/>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spans="1:42" ht="16.5" customHeight="1" x14ac:dyDescent="0.7">
      <c r="A84" s="20"/>
      <c r="B84" s="20"/>
      <c r="C84" s="20"/>
      <c r="D84" s="20"/>
      <c r="E84" s="20"/>
      <c r="F84" s="20"/>
      <c r="G84" s="20"/>
      <c r="H84" s="20"/>
      <c r="I84" s="20"/>
      <c r="J84" s="20"/>
      <c r="K84" s="20"/>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spans="1:42" ht="16.5" customHeight="1" x14ac:dyDescent="0.7">
      <c r="A85" s="20"/>
      <c r="B85" s="20"/>
      <c r="C85" s="20"/>
      <c r="D85" s="20"/>
      <c r="E85" s="20"/>
      <c r="F85" s="20"/>
      <c r="G85" s="20"/>
      <c r="H85" s="20"/>
      <c r="I85" s="20"/>
      <c r="J85" s="20"/>
      <c r="K85" s="20"/>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spans="1:42" ht="16.5" customHeight="1" x14ac:dyDescent="0.7">
      <c r="A86" s="20"/>
      <c r="B86" s="20"/>
      <c r="C86" s="20"/>
      <c r="D86" s="20"/>
      <c r="E86" s="20"/>
      <c r="F86" s="20"/>
      <c r="G86" s="20"/>
      <c r="H86" s="20"/>
      <c r="I86" s="20"/>
      <c r="J86" s="20"/>
      <c r="K86" s="20"/>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spans="1:42" ht="16.5" customHeight="1" x14ac:dyDescent="0.7">
      <c r="A87" s="20"/>
      <c r="B87" s="20"/>
      <c r="C87" s="20"/>
      <c r="D87" s="20"/>
      <c r="E87" s="20"/>
      <c r="F87" s="20"/>
      <c r="G87" s="20"/>
      <c r="H87" s="20"/>
      <c r="I87" s="20"/>
      <c r="J87" s="20"/>
      <c r="K87" s="20"/>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spans="1:42" ht="16.5" customHeight="1" x14ac:dyDescent="0.7">
      <c r="A88" s="20"/>
      <c r="B88" s="20"/>
      <c r="C88" s="20"/>
      <c r="D88" s="20"/>
      <c r="E88" s="20"/>
      <c r="F88" s="20"/>
      <c r="G88" s="20"/>
      <c r="H88" s="20"/>
      <c r="I88" s="20"/>
      <c r="J88" s="20"/>
      <c r="K88" s="20"/>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spans="1:42" ht="16.5" customHeight="1" x14ac:dyDescent="0.7">
      <c r="A89" s="20"/>
      <c r="B89" s="20"/>
      <c r="C89" s="20"/>
      <c r="D89" s="20"/>
      <c r="E89" s="20"/>
      <c r="F89" s="20"/>
      <c r="G89" s="20"/>
      <c r="H89" s="20"/>
      <c r="I89" s="20"/>
      <c r="J89" s="20"/>
      <c r="K89" s="20"/>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spans="1:42" ht="16.5" customHeight="1" x14ac:dyDescent="0.7">
      <c r="A90" s="20"/>
      <c r="B90" s="20"/>
      <c r="C90" s="20"/>
      <c r="D90" s="20"/>
      <c r="E90" s="20"/>
      <c r="F90" s="20"/>
      <c r="G90" s="20"/>
      <c r="H90" s="20"/>
      <c r="I90" s="20"/>
      <c r="J90" s="20"/>
      <c r="K90" s="20"/>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spans="1:42" ht="16.5" customHeight="1" x14ac:dyDescent="0.7">
      <c r="A91" s="20"/>
      <c r="B91" s="20"/>
      <c r="C91" s="20"/>
      <c r="D91" s="20"/>
      <c r="E91" s="20"/>
      <c r="F91" s="20"/>
      <c r="G91" s="20"/>
      <c r="H91" s="20"/>
      <c r="I91" s="20"/>
      <c r="J91" s="20"/>
      <c r="K91" s="20"/>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spans="1:42" ht="16.5" customHeight="1" x14ac:dyDescent="0.7">
      <c r="A92" s="20"/>
      <c r="B92" s="20"/>
      <c r="C92" s="20"/>
      <c r="D92" s="20"/>
      <c r="E92" s="20"/>
      <c r="F92" s="20"/>
      <c r="G92" s="20"/>
      <c r="H92" s="20"/>
      <c r="I92" s="20"/>
      <c r="J92" s="20"/>
      <c r="K92" s="20"/>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spans="1:42" ht="16.5" customHeight="1" x14ac:dyDescent="0.7">
      <c r="A93" s="20"/>
      <c r="B93" s="20"/>
      <c r="C93" s="20"/>
      <c r="D93" s="20"/>
      <c r="E93" s="20"/>
      <c r="F93" s="20"/>
      <c r="G93" s="20"/>
      <c r="H93" s="20"/>
      <c r="I93" s="20"/>
      <c r="J93" s="20"/>
      <c r="K93" s="20"/>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spans="1:42" ht="16.5" customHeight="1" x14ac:dyDescent="0.7">
      <c r="A94" s="20"/>
      <c r="B94" s="20"/>
      <c r="C94" s="20"/>
      <c r="D94" s="20"/>
      <c r="E94" s="20"/>
      <c r="F94" s="20"/>
      <c r="G94" s="20"/>
      <c r="H94" s="20"/>
      <c r="I94" s="20"/>
      <c r="J94" s="20"/>
      <c r="K94" s="20"/>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spans="1:42" ht="16.5" customHeight="1" x14ac:dyDescent="0.7">
      <c r="A95" s="20"/>
      <c r="B95" s="20"/>
      <c r="C95" s="20"/>
      <c r="D95" s="20"/>
      <c r="E95" s="20"/>
      <c r="F95" s="20"/>
      <c r="G95" s="20"/>
      <c r="H95" s="20"/>
      <c r="I95" s="20"/>
      <c r="J95" s="20"/>
      <c r="K95" s="20"/>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spans="1:42" ht="16.5" customHeight="1" x14ac:dyDescent="0.7">
      <c r="A96" s="20"/>
      <c r="B96" s="20"/>
      <c r="C96" s="20"/>
      <c r="D96" s="20"/>
      <c r="E96" s="20"/>
      <c r="F96" s="20"/>
      <c r="G96" s="20"/>
      <c r="H96" s="20"/>
      <c r="I96" s="20"/>
      <c r="J96" s="20"/>
      <c r="K96" s="20"/>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spans="1:42" ht="16.5" customHeight="1" x14ac:dyDescent="0.7">
      <c r="A97" s="20"/>
      <c r="B97" s="20"/>
      <c r="C97" s="20"/>
      <c r="D97" s="20"/>
      <c r="E97" s="20"/>
      <c r="F97" s="20"/>
      <c r="G97" s="20"/>
      <c r="H97" s="20"/>
      <c r="I97" s="20"/>
      <c r="J97" s="20"/>
      <c r="K97" s="20"/>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spans="1:42" ht="16.5" customHeight="1" x14ac:dyDescent="0.7">
      <c r="A98" s="20"/>
      <c r="B98" s="20"/>
      <c r="C98" s="20"/>
      <c r="D98" s="20"/>
      <c r="E98" s="20"/>
      <c r="F98" s="20"/>
      <c r="G98" s="20"/>
      <c r="H98" s="20"/>
      <c r="I98" s="20"/>
      <c r="J98" s="20"/>
      <c r="K98" s="20"/>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spans="1:42" ht="16.5" customHeight="1" x14ac:dyDescent="0.7">
      <c r="A99" s="20"/>
      <c r="B99" s="20"/>
      <c r="C99" s="20"/>
      <c r="D99" s="20"/>
      <c r="E99" s="20"/>
      <c r="F99" s="20"/>
      <c r="G99" s="20"/>
      <c r="H99" s="20"/>
      <c r="I99" s="20"/>
      <c r="J99" s="20"/>
      <c r="K99" s="20"/>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spans="1:42" ht="16.5" customHeight="1" x14ac:dyDescent="0.7">
      <c r="A100" s="20"/>
      <c r="B100" s="20"/>
      <c r="C100" s="20"/>
      <c r="D100" s="20"/>
      <c r="E100" s="20"/>
      <c r="F100" s="20"/>
      <c r="G100" s="20"/>
      <c r="H100" s="20"/>
      <c r="I100" s="20"/>
      <c r="J100" s="20"/>
      <c r="K100" s="20"/>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spans="1:42" ht="16.5" customHeight="1" x14ac:dyDescent="0.7">
      <c r="A101" s="20"/>
      <c r="B101" s="20"/>
      <c r="C101" s="20"/>
      <c r="D101" s="20"/>
      <c r="E101" s="20"/>
      <c r="F101" s="20"/>
      <c r="G101" s="20"/>
      <c r="H101" s="20"/>
      <c r="I101" s="20"/>
      <c r="J101" s="20"/>
      <c r="K101" s="20"/>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spans="1:42" ht="16.5" customHeight="1" x14ac:dyDescent="0.7">
      <c r="A102" s="19"/>
      <c r="B102" s="19"/>
      <c r="C102" s="19"/>
      <c r="D102" s="19"/>
      <c r="E102" s="20"/>
      <c r="F102" s="20"/>
      <c r="G102" s="20"/>
      <c r="H102" s="20"/>
      <c r="I102" s="20"/>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spans="1:42" ht="16.5" customHeight="1" x14ac:dyDescent="0.7">
      <c r="A103" s="19"/>
      <c r="B103" s="19"/>
      <c r="C103" s="19"/>
      <c r="D103" s="19"/>
      <c r="E103" s="20"/>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spans="1:42" ht="16.5" customHeight="1" x14ac:dyDescent="0.7">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spans="1:42" ht="16.5" customHeight="1" x14ac:dyDescent="0.7">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spans="1:42" ht="16.5" customHeight="1" x14ac:dyDescent="0.7">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spans="1:42" ht="16.5" customHeight="1" x14ac:dyDescent="0.7">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spans="1:42" ht="16.5" customHeight="1" x14ac:dyDescent="0.7">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spans="1:42" ht="16.5" customHeight="1" x14ac:dyDescent="0.7">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spans="1:42" ht="16.5" customHeight="1" x14ac:dyDescent="0.7">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spans="1:42" ht="16.5" customHeight="1" x14ac:dyDescent="0.7">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spans="1:42" ht="16.5" customHeight="1" x14ac:dyDescent="0.7">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spans="1:42" ht="16.5" customHeight="1" x14ac:dyDescent="0.7">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spans="1:42" ht="16.5" customHeight="1" x14ac:dyDescent="0.7">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spans="1:42" ht="16.5" customHeight="1" x14ac:dyDescent="0.7">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spans="1:42" ht="16.5" customHeight="1" x14ac:dyDescent="0.7">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spans="1:42" ht="16.5" customHeight="1" x14ac:dyDescent="0.7">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spans="1:42" ht="16.5" customHeight="1" x14ac:dyDescent="0.7">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spans="1:42" ht="16.5" customHeight="1" x14ac:dyDescent="0.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spans="1:42" ht="16.5" customHeight="1" x14ac:dyDescent="0.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spans="1:42" ht="16.5" customHeight="1" x14ac:dyDescent="0.7">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spans="1:42" ht="16.5" customHeight="1" x14ac:dyDescent="0.7">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spans="1:42" ht="16.5" customHeight="1" x14ac:dyDescent="0.7">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spans="1:42" ht="16.5" customHeight="1" x14ac:dyDescent="0.7">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spans="1:42" ht="16.5" customHeight="1" x14ac:dyDescent="0.7">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spans="1:42" ht="16.5" customHeight="1" x14ac:dyDescent="0.7">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spans="1:42" ht="16.5" customHeight="1" x14ac:dyDescent="0.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spans="1:42" ht="16.5" customHeight="1" x14ac:dyDescent="0.7">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spans="1:42" ht="16.5" customHeight="1" x14ac:dyDescent="0.7">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spans="1:42" ht="16.5" customHeight="1" x14ac:dyDescent="0.7">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spans="1:42" ht="16.5" customHeight="1" x14ac:dyDescent="0.7">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spans="1:42" ht="16.5" customHeight="1" x14ac:dyDescent="0.7">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spans="1:42" ht="16.5" customHeight="1" x14ac:dyDescent="0.7">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spans="1:42" ht="16.5" customHeight="1" x14ac:dyDescent="0.7">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spans="1:42" ht="16.5" customHeight="1" x14ac:dyDescent="0.7">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spans="1:42" ht="16.5" customHeight="1" x14ac:dyDescent="0.7">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spans="1:42" ht="16.5" customHeight="1" x14ac:dyDescent="0.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spans="1:42" ht="16.5" customHeight="1" x14ac:dyDescent="0.7">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spans="1:42" ht="16.5" customHeight="1" x14ac:dyDescent="0.7">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spans="1:42" ht="16.5" customHeight="1" x14ac:dyDescent="0.7">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spans="1:42" ht="16.5" customHeight="1" x14ac:dyDescent="0.7">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spans="1:42" ht="16.5" customHeight="1" x14ac:dyDescent="0.7">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spans="1:42" ht="16.5" customHeight="1" x14ac:dyDescent="0.7">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spans="1:42" ht="16.5" customHeight="1" x14ac:dyDescent="0.7">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spans="1:42" ht="16.5" customHeight="1" x14ac:dyDescent="0.7">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spans="1:42" ht="16.5" customHeight="1" x14ac:dyDescent="0.7">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spans="1:42" ht="16.5" customHeight="1" x14ac:dyDescent="0.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spans="1:42" ht="16.5" customHeight="1" x14ac:dyDescent="0.7">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spans="1:42" ht="16.5" customHeight="1" x14ac:dyDescent="0.7">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spans="1:42" ht="16.5" customHeight="1" x14ac:dyDescent="0.7">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spans="1:42" ht="16.5" customHeight="1" x14ac:dyDescent="0.7">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spans="1:42" ht="16.5" customHeight="1" x14ac:dyDescent="0.7">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spans="1:42" ht="16.5" customHeight="1" x14ac:dyDescent="0.7">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spans="1:42" ht="16.5" customHeight="1" x14ac:dyDescent="0.7">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16.5" customHeight="1" x14ac:dyDescent="0.7">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spans="1:42" ht="16.5" customHeight="1" x14ac:dyDescent="0.7">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spans="1:42" ht="16.5" customHeight="1" x14ac:dyDescent="0.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spans="1:42" ht="16.5" customHeight="1" x14ac:dyDescent="0.7">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spans="1:42" ht="16.5" customHeight="1" x14ac:dyDescent="0.7">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spans="1:42" ht="16.5" customHeight="1" x14ac:dyDescent="0.7">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spans="1:42" ht="16.5" customHeight="1" x14ac:dyDescent="0.7">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spans="1:42" ht="16.5" customHeight="1" x14ac:dyDescent="0.7">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spans="1:42" ht="16.5" customHeight="1" x14ac:dyDescent="0.7">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spans="1:42" ht="16.5" customHeight="1" x14ac:dyDescent="0.7">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spans="1:42" ht="16.5" customHeight="1" x14ac:dyDescent="0.7">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spans="1:42" ht="16.5" customHeight="1" x14ac:dyDescent="0.7">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spans="1:42" ht="16.5" customHeight="1" x14ac:dyDescent="0.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spans="1:42" ht="16.5" customHeight="1" x14ac:dyDescent="0.7">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spans="1:42" ht="16.5" customHeight="1" x14ac:dyDescent="0.7">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spans="1:42" ht="16.5" customHeight="1" x14ac:dyDescent="0.7">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spans="1:42" ht="16.5" customHeight="1" x14ac:dyDescent="0.7">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spans="1:42" ht="16.5" customHeight="1" x14ac:dyDescent="0.7">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spans="1:42" ht="16.5" customHeight="1" x14ac:dyDescent="0.7">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spans="1:42" ht="16.5" customHeight="1" x14ac:dyDescent="0.7">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spans="1:42" ht="16.5" customHeight="1" x14ac:dyDescent="0.7">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spans="1:42" ht="16.5" customHeight="1" x14ac:dyDescent="0.7">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spans="1:42" ht="16.5" customHeight="1" x14ac:dyDescent="0.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spans="1:42" ht="16.5" customHeight="1" x14ac:dyDescent="0.7">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spans="1:42" ht="16.5" customHeight="1" x14ac:dyDescent="0.7">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spans="1:42" ht="16.5" customHeight="1" x14ac:dyDescent="0.7">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spans="1:42" ht="16.5" customHeight="1" x14ac:dyDescent="0.7">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spans="1:42" ht="16.5" customHeight="1" x14ac:dyDescent="0.7">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spans="1:42" ht="16.5" customHeight="1" x14ac:dyDescent="0.7">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spans="1:42" ht="16.5" customHeight="1" x14ac:dyDescent="0.7">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spans="1:42" ht="16.5" customHeight="1" x14ac:dyDescent="0.7">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spans="1:42" ht="16.5" customHeight="1" x14ac:dyDescent="0.7">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spans="1:42" ht="16.5" customHeight="1" x14ac:dyDescent="0.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spans="1:42" ht="16.5" customHeight="1" x14ac:dyDescent="0.7">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spans="1:42" ht="16.5" customHeight="1" x14ac:dyDescent="0.7">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spans="1:42" ht="16.5" customHeight="1" x14ac:dyDescent="0.7">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spans="1:42" ht="16.5" customHeight="1" x14ac:dyDescent="0.7">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spans="1:42" ht="16.5" customHeight="1" x14ac:dyDescent="0.7">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spans="1:42" ht="16.5" customHeight="1" x14ac:dyDescent="0.7">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spans="1:42" ht="16.5" customHeight="1" x14ac:dyDescent="0.7">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spans="1:42" ht="16.5" customHeight="1" x14ac:dyDescent="0.7">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spans="1:42" ht="16.5" customHeight="1" x14ac:dyDescent="0.7">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spans="1:42" ht="16.5" customHeight="1" x14ac:dyDescent="0.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spans="1:42" ht="16.5" customHeight="1" x14ac:dyDescent="0.7">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spans="1:42" ht="16.5" customHeight="1" x14ac:dyDescent="0.7">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spans="1:42" ht="16.5" customHeight="1" x14ac:dyDescent="0.7">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spans="1:42" ht="16.5" customHeight="1" x14ac:dyDescent="0.7">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spans="1:42" ht="16.5" customHeight="1" x14ac:dyDescent="0.7">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spans="1:42" ht="16.5" customHeight="1" x14ac:dyDescent="0.7">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spans="1:42" ht="16.5" customHeight="1" x14ac:dyDescent="0.7">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spans="1:42" ht="16.5" customHeight="1" x14ac:dyDescent="0.7">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spans="1:42" ht="16.5" customHeight="1" x14ac:dyDescent="0.7">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spans="1:42" ht="16.5" customHeight="1" x14ac:dyDescent="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spans="1:42" ht="16.5" customHeight="1" x14ac:dyDescent="0.7">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spans="1:42" ht="16.5" customHeight="1" x14ac:dyDescent="0.7">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spans="1:42" ht="16.5" customHeight="1" x14ac:dyDescent="0.7">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spans="1:42" ht="16.5" customHeight="1" x14ac:dyDescent="0.7">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spans="1:42" ht="16.5" customHeight="1" x14ac:dyDescent="0.7">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spans="1:42" ht="16.5" customHeight="1" x14ac:dyDescent="0.7">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spans="1:42" ht="16.5" customHeight="1" x14ac:dyDescent="0.7">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spans="1:42" ht="16.5" customHeight="1" x14ac:dyDescent="0.7">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spans="1:42" ht="16.5" customHeight="1" x14ac:dyDescent="0.7">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spans="1:42" x14ac:dyDescent="0.7">
      <c r="E217" s="19"/>
      <c r="F217" s="19"/>
      <c r="G217" s="19"/>
      <c r="H217" s="19"/>
      <c r="I217" s="19"/>
      <c r="M217" s="19"/>
    </row>
    <row r="218" spans="1:42" x14ac:dyDescent="0.7">
      <c r="E218" s="19"/>
    </row>
  </sheetData>
  <sheetProtection algorithmName="SHA-512" hashValue="vHo/pOQ+oo3qdLXqw9ZR9Xmm/5ThNEVKDml+QV2ki8cf0wX8cV6VdWPHdkdbuH6tWdTTq/w7jWZd3LsZdxr3kQ==" saltValue="mJ7R2UJsEr4NLpO44oUDzg==" spinCount="100000" sheet="1" formatCells="0" formatColumns="0" formatRows="0" insertColumns="0" insertRows="0" insertHyperlinks="0" deleteColumns="0" deleteRows="0" sort="0" autoFilter="0" pivotTables="0"/>
  <mergeCells count="18">
    <mergeCell ref="F65:I65"/>
    <mergeCell ref="L15:L18"/>
    <mergeCell ref="B17:D18"/>
    <mergeCell ref="L7:L13"/>
    <mergeCell ref="L28:L30"/>
    <mergeCell ref="L43:L45"/>
    <mergeCell ref="L20:L22"/>
    <mergeCell ref="L24:L26"/>
    <mergeCell ref="L35:L37"/>
    <mergeCell ref="L39:L40"/>
    <mergeCell ref="L32:L33"/>
    <mergeCell ref="B73:D73"/>
    <mergeCell ref="B4:I4"/>
    <mergeCell ref="F24:H24"/>
    <mergeCell ref="F35:G35"/>
    <mergeCell ref="F37:G37"/>
    <mergeCell ref="F63:I64"/>
    <mergeCell ref="B69:B71"/>
  </mergeCells>
  <conditionalFormatting sqref="F57:I57">
    <cfRule type="expression" dxfId="4" priority="2">
      <formula>$F$33="Yes"</formula>
    </cfRule>
  </conditionalFormatting>
  <conditionalFormatting sqref="F66:I71">
    <cfRule type="expression" dxfId="3" priority="3">
      <formula>$F$33&lt;&gt;"Yes"</formula>
    </cfRule>
  </conditionalFormatting>
  <conditionalFormatting sqref="H19">
    <cfRule type="expression" dxfId="2" priority="9">
      <formula>$H$15&lt;&gt;"Yes"</formula>
    </cfRule>
  </conditionalFormatting>
  <conditionalFormatting sqref="I19">
    <cfRule type="expression" dxfId="1" priority="8">
      <formula>$H$15&lt;&gt;"Yes"</formula>
    </cfRule>
  </conditionalFormatting>
  <conditionalFormatting sqref="B17:E18">
    <cfRule type="expression" dxfId="0" priority="1">
      <formula>$E$15="No"</formula>
    </cfRule>
  </conditionalFormatting>
  <pageMargins left="0.7" right="0.7" top="0.75" bottom="0.75" header="0.3" footer="0.3"/>
  <pageSetup paperSize="9" scale="64" orientation="landscape" r:id="rId1"/>
  <rowBreaks count="1" manualBreakCount="1">
    <brk id="46" max="1638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1657816-0DD5-4255-9ECB-0C81027AE92C}">
          <x14:formula1>
            <xm:f>Sheet2!$A$2:$A$12</xm:f>
          </x14:formula1>
          <xm:sqref>F43</xm:sqref>
        </x14:dataValidation>
        <x14:dataValidation type="list" allowBlank="1" showInputMessage="1" showErrorMessage="1" xr:uid="{13FB27BC-8DBE-4957-BC9F-7832543220EF}">
          <x14:formula1>
            <xm:f>Sheet2!$E$2:$E$3</xm:f>
          </x14:formula1>
          <xm:sqref>H15 E15 F33 E17</xm:sqref>
        </x14:dataValidation>
        <x14:dataValidation type="list" allowBlank="1" showInputMessage="1" showErrorMessage="1" xr:uid="{BEACD7E5-8B11-4BFA-9283-E1728778514A}">
          <x14:formula1>
            <xm:f>Sheet2!$K$2:$K$4</xm:f>
          </x14:formula1>
          <xm:sqref>F24:H24</xm:sqref>
        </x14:dataValidation>
        <x14:dataValidation type="list" allowBlank="1" showInputMessage="1" showErrorMessage="1" xr:uid="{A88B7922-B9E9-44EE-9922-1BAC5BE902FA}">
          <x14:formula1>
            <xm:f>Sheet2!$C$3:$C$12</xm:f>
          </x14:formula1>
          <xm:sqref>F30</xm:sqref>
        </x14:dataValidation>
        <x14:dataValidation type="list" allowBlank="1" showInputMessage="1" showErrorMessage="1" xr:uid="{9D5F12DC-9941-47E3-8220-2345FBED0B0C}">
          <x14:formula1>
            <xm:f>Sheet3!$A$31:$A$40</xm:f>
          </x14:formula1>
          <xm:sqref>F37:G37</xm:sqref>
        </x14:dataValidation>
        <x14:dataValidation type="list" allowBlank="1" showInputMessage="1" showErrorMessage="1" xr:uid="{9459DCD6-E4F6-4ADD-8816-613443A8478F}">
          <x14:formula1>
            <xm:f>Sheet3!$A$15:$A$17</xm:f>
          </x14:formula1>
          <xm:sqref>F35:G35</xm:sqref>
        </x14:dataValidation>
        <x14:dataValidation type="list" allowBlank="1" showInputMessage="1" showErrorMessage="1" xr:uid="{11E1C32D-21E0-4E7D-96EE-2C0D225DCCFD}">
          <x14:formula1>
            <xm:f>Sheet2!$I$2:$I$8</xm:f>
          </x14:formula1>
          <xm:sqref>F22</xm:sqref>
        </x14:dataValidation>
        <x14:dataValidation type="list" allowBlank="1" showInputMessage="1" showErrorMessage="1" xr:uid="{7E7C72AF-0A49-43EC-A87A-F84431372070}">
          <x14:formula1>
            <xm:f>Sheet2!$A$14:$A$16</xm:f>
          </x14:formula1>
          <xm:sqref>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AA576-151B-4B4B-85EB-4E7D99C14506}">
  <sheetPr codeName="Sheet2"/>
  <dimension ref="A2:K52"/>
  <sheetViews>
    <sheetView topLeftCell="A19" workbookViewId="0">
      <selection activeCell="E33" sqref="E33"/>
    </sheetView>
  </sheetViews>
  <sheetFormatPr defaultRowHeight="14.4" x14ac:dyDescent="0.3"/>
  <cols>
    <col min="1" max="1" width="21.44140625" customWidth="1"/>
    <col min="2" max="2" width="12.77734375" bestFit="1" customWidth="1"/>
    <col min="6" max="6" width="9.21875" bestFit="1" customWidth="1"/>
    <col min="7" max="7" width="22.109375" bestFit="1" customWidth="1"/>
  </cols>
  <sheetData>
    <row r="2" spans="1:11" x14ac:dyDescent="0.3">
      <c r="A2" t="s">
        <v>29</v>
      </c>
      <c r="C2" t="s">
        <v>54</v>
      </c>
      <c r="E2" t="s">
        <v>1</v>
      </c>
      <c r="G2" t="s">
        <v>31</v>
      </c>
      <c r="I2" t="s">
        <v>11</v>
      </c>
    </row>
    <row r="3" spans="1:11" x14ac:dyDescent="0.3">
      <c r="A3">
        <v>0</v>
      </c>
      <c r="C3">
        <v>0</v>
      </c>
      <c r="E3" t="s">
        <v>2</v>
      </c>
      <c r="G3" t="s">
        <v>32</v>
      </c>
      <c r="I3" t="s">
        <v>47</v>
      </c>
      <c r="K3" t="s">
        <v>52</v>
      </c>
    </row>
    <row r="4" spans="1:11" x14ac:dyDescent="0.3">
      <c r="A4">
        <v>1</v>
      </c>
      <c r="C4">
        <v>1</v>
      </c>
      <c r="G4" t="s">
        <v>33</v>
      </c>
      <c r="I4" t="s">
        <v>48</v>
      </c>
      <c r="K4" t="s">
        <v>53</v>
      </c>
    </row>
    <row r="5" spans="1:11" x14ac:dyDescent="0.3">
      <c r="A5">
        <v>2</v>
      </c>
      <c r="C5">
        <v>2</v>
      </c>
      <c r="G5" t="s">
        <v>34</v>
      </c>
      <c r="I5" t="s">
        <v>75</v>
      </c>
    </row>
    <row r="6" spans="1:11" x14ac:dyDescent="0.3">
      <c r="A6">
        <v>3</v>
      </c>
      <c r="C6">
        <v>3</v>
      </c>
      <c r="G6" t="s">
        <v>35</v>
      </c>
      <c r="I6" t="s">
        <v>49</v>
      </c>
    </row>
    <row r="7" spans="1:11" x14ac:dyDescent="0.3">
      <c r="A7">
        <v>4</v>
      </c>
      <c r="C7">
        <v>4</v>
      </c>
      <c r="G7" t="s">
        <v>36</v>
      </c>
      <c r="I7" t="s">
        <v>50</v>
      </c>
    </row>
    <row r="8" spans="1:11" x14ac:dyDescent="0.3">
      <c r="A8">
        <v>5</v>
      </c>
      <c r="C8">
        <v>5</v>
      </c>
      <c r="G8" t="s">
        <v>37</v>
      </c>
      <c r="I8" t="s">
        <v>51</v>
      </c>
    </row>
    <row r="9" spans="1:11" x14ac:dyDescent="0.3">
      <c r="A9">
        <v>6</v>
      </c>
      <c r="C9">
        <v>6</v>
      </c>
      <c r="G9" t="s">
        <v>38</v>
      </c>
    </row>
    <row r="10" spans="1:11" x14ac:dyDescent="0.3">
      <c r="A10">
        <v>7</v>
      </c>
      <c r="C10">
        <v>7</v>
      </c>
      <c r="G10" t="s">
        <v>39</v>
      </c>
    </row>
    <row r="11" spans="1:11" x14ac:dyDescent="0.3">
      <c r="A11">
        <v>8</v>
      </c>
      <c r="C11">
        <v>8</v>
      </c>
      <c r="G11" t="s">
        <v>40</v>
      </c>
    </row>
    <row r="12" spans="1:11" x14ac:dyDescent="0.3">
      <c r="A12">
        <v>9</v>
      </c>
      <c r="C12">
        <v>9</v>
      </c>
      <c r="G12" t="s">
        <v>41</v>
      </c>
    </row>
    <row r="13" spans="1:11" x14ac:dyDescent="0.3">
      <c r="G13" t="s">
        <v>42</v>
      </c>
    </row>
    <row r="14" spans="1:11" x14ac:dyDescent="0.3">
      <c r="G14" t="s">
        <v>43</v>
      </c>
    </row>
    <row r="15" spans="1:11" x14ac:dyDescent="0.3">
      <c r="A15">
        <v>50</v>
      </c>
      <c r="G15" t="s">
        <v>44</v>
      </c>
    </row>
    <row r="16" spans="1:11" x14ac:dyDescent="0.3">
      <c r="A16">
        <v>85</v>
      </c>
      <c r="G16" t="s">
        <v>45</v>
      </c>
    </row>
    <row r="17" spans="1:7" x14ac:dyDescent="0.3">
      <c r="G17" t="s">
        <v>46</v>
      </c>
    </row>
    <row r="19" spans="1:7" x14ac:dyDescent="0.3">
      <c r="A19" t="s">
        <v>96</v>
      </c>
    </row>
    <row r="20" spans="1:7" x14ac:dyDescent="0.3">
      <c r="A20" s="9" t="s">
        <v>94</v>
      </c>
      <c r="B20" s="155">
        <f>VLOOKUP(Calculator!$F$28,Sheet3!$A$182:$B$503,2,TRUE)/12</f>
        <v>74.57416666666667</v>
      </c>
      <c r="C20" s="9">
        <f>VLOOKUP(Calculator!$F$28,Sheet3!$A$182:$C$503,3,TRUE)/12</f>
        <v>77.929999999999993</v>
      </c>
    </row>
    <row r="21" spans="1:7" x14ac:dyDescent="0.3">
      <c r="A21" s="9" t="s">
        <v>54</v>
      </c>
      <c r="B21" s="9">
        <f>IF(Calculator!F30&gt;1,(((Calculator!F30-1)*Sheet3!B50)+Sheet3!B49),Sheet3!B49)</f>
        <v>127.25</v>
      </c>
      <c r="C21" s="10">
        <f>IF(Calculator!F30&gt;1,(((Calculator!F30-1)*Sheet3!C50)+Sheet3!C49),Sheet3!C49)</f>
        <v>132.97999999999999</v>
      </c>
    </row>
    <row r="22" spans="1:7" x14ac:dyDescent="0.3">
      <c r="A22" s="9"/>
      <c r="B22" s="9"/>
      <c r="C22" s="10"/>
    </row>
    <row r="23" spans="1:7" x14ac:dyDescent="0.3">
      <c r="C23" s="11"/>
    </row>
    <row r="24" spans="1:7" ht="15" thickBot="1" x14ac:dyDescent="0.35">
      <c r="A24" s="73" t="s">
        <v>97</v>
      </c>
      <c r="C24" s="11"/>
    </row>
    <row r="25" spans="1:7" x14ac:dyDescent="0.3">
      <c r="A25" s="74" t="s">
        <v>98</v>
      </c>
      <c r="B25" s="75">
        <f>IF(Calculator!F13&gt;=350001,IF(Calculator!F13&gt;=1000001,(((1000001*Sheet3!B2)-(350000*Sheet3!B2))/12),((((Calculator!F13)*Sheet3!B2)-(350000*Sheet3!B2))/12)),0)</f>
        <v>0</v>
      </c>
      <c r="C25" s="75">
        <f>IF(Calculator!F13&gt;=350001,IF(Calculator!F13&gt;=1000001,(((1000001*Sheet3!C2)-(350000*Sheet3!C2))/12),((((Calculator!F13)*Sheet3!C2)-(350000*Sheet3!C2))/12)),0)</f>
        <v>0</v>
      </c>
      <c r="D25" s="13"/>
      <c r="E25" s="13"/>
    </row>
    <row r="26" spans="1:7" x14ac:dyDescent="0.3">
      <c r="A26" s="76" t="s">
        <v>99</v>
      </c>
      <c r="B26" s="77">
        <f>IF(Calculator!$F$33="Yes",(IFERROR(VLOOKUP(Calculator!F37,Sheet3!$A$21:$B$23,2,FALSE),265.8)),IF(Calculator!F39&gt;=Calculator!H19,(IFERROR(VLOOKUP(Calculator!F37,Sheet3!$A$21:$B$23,2,FALSE),265.8))+(IF(Calculator!H15="Yes",IF(Calculator!F37="20 Amp",(Calculator!H19*Sheet3!B43),(Calculator!H19*Sheet3!B45)),0)),(IFERROR(VLOOKUP(Calculator!F37,Sheet3!$A$21:$B$23,2,FALSE),265.8))))</f>
        <v>265.8</v>
      </c>
      <c r="C26" s="78">
        <f>IF(Calculator!$F$33="Yes",(IFERROR(VLOOKUP(Calculator!F37,Sheet3!$A$21:$C$23,3,FALSE),278.82)),IF(Calculator!F39&gt;=Calculator!H19,IFERROR(VLOOKUP(Calculator!F37,Sheet3!$A$21:$C$23,3,FALSE),278.82)+(IF(Calculator!H15="Yes",IF(Calculator!F37="20 Amp",(Calculator!H19*Sheet3!C43),(Calculator!H19*Sheet3!C45)),0)),(IFERROR(VLOOKUP(Calculator!F37,Sheet3!$A$21:$C$23,3,FALSE),278.82))))</f>
        <v>278.82</v>
      </c>
      <c r="F26" s="13">
        <f t="shared" ref="F26:F29" si="0">B26*1.15</f>
        <v>305.67</v>
      </c>
      <c r="G26" s="13">
        <f t="shared" ref="G26:G29" si="1">C26*1.15</f>
        <v>320.64299999999997</v>
      </c>
    </row>
    <row r="27" spans="1:7" x14ac:dyDescent="0.3">
      <c r="A27" s="76" t="s">
        <v>56</v>
      </c>
      <c r="B27" s="77">
        <f>Sheet3!B6+IF(Calculator!$F$24="Domestic - Sliding Scale",Sheet3!B65,(6*Sheet3!B55))</f>
        <v>230.17000000000002</v>
      </c>
      <c r="C27" s="79">
        <f>Sheet3!C6+IF(Calculator!$F$24="Domestic - Sliding Scale",Sheet3!C65,(6*Sheet3!C55))</f>
        <v>247.92000000000002</v>
      </c>
      <c r="F27" s="13">
        <f t="shared" si="0"/>
        <v>264.69549999999998</v>
      </c>
      <c r="G27" s="13">
        <f t="shared" si="1"/>
        <v>285.108</v>
      </c>
    </row>
    <row r="28" spans="1:7" x14ac:dyDescent="0.3">
      <c r="A28" s="76" t="s">
        <v>17</v>
      </c>
      <c r="B28" s="77">
        <f>(Sheet3!B182/12)+Sheet3!B49</f>
        <v>201.82416666666666</v>
      </c>
      <c r="C28" s="78">
        <f>(Sheet3!C182/12)+Sheet3!C49</f>
        <v>210.90999999999997</v>
      </c>
      <c r="F28" s="13">
        <f t="shared" si="0"/>
        <v>232.09779166666664</v>
      </c>
      <c r="G28" s="13">
        <f t="shared" si="1"/>
        <v>242.54649999999995</v>
      </c>
    </row>
    <row r="29" spans="1:7" ht="15" thickBot="1" x14ac:dyDescent="0.35">
      <c r="A29" s="80" t="s">
        <v>7</v>
      </c>
      <c r="B29" s="81">
        <f>IF(Calculator!F43=0,0,Sheet3!B52)</f>
        <v>0</v>
      </c>
      <c r="C29" s="82">
        <f>IF(Calculator!F43=0,0,Sheet3!C52)</f>
        <v>0</v>
      </c>
      <c r="F29" s="13">
        <f>B29*1.15</f>
        <v>0</v>
      </c>
      <c r="G29" s="13">
        <f>C29*1.15</f>
        <v>0</v>
      </c>
    </row>
    <row r="30" spans="1:7" x14ac:dyDescent="0.3">
      <c r="C30" s="3"/>
      <c r="F30" s="13">
        <f>SUM(B26:B29)*1.15</f>
        <v>802.46329166666658</v>
      </c>
      <c r="G30" s="13">
        <f>SUM(C26:C29)*1.15</f>
        <v>848.2974999999999</v>
      </c>
    </row>
    <row r="31" spans="1:7" x14ac:dyDescent="0.3">
      <c r="C31" s="3"/>
      <c r="F31" s="13"/>
      <c r="G31" s="13"/>
    </row>
    <row r="32" spans="1:7" ht="15" thickBot="1" x14ac:dyDescent="0.35">
      <c r="C32" s="3"/>
      <c r="F32" s="13"/>
      <c r="G32" s="13"/>
    </row>
    <row r="33" spans="1:7" ht="15" thickBot="1" x14ac:dyDescent="0.35">
      <c r="A33" s="83" t="s">
        <v>113</v>
      </c>
      <c r="B33" s="84">
        <f>IF(Calculator!$F$33="Yes",IF(Calculator!F39&gt;=Calculator!H19,IF(Calculator!H15="Yes",IF(Calculator!F37="20 Amp",(Calculator!H19*Sheet3!B43),(Calculator!H19*Sheet3!B45)),0)),0)</f>
        <v>0</v>
      </c>
      <c r="C33" s="84">
        <f>IF(Calculator!$F$33="Yes",IF(Calculator!F39&gt;=Calculator!H19,IF(Calculator!H15="Yes",IF(Calculator!F37="20 Amp",(Calculator!H19*Sheet3!C43),(Calculator!H19*Sheet3!C45)),0)),0)</f>
        <v>0</v>
      </c>
      <c r="E33" t="s">
        <v>142</v>
      </c>
      <c r="F33" s="162">
        <f>IF(Calculator!F39&lt;&gt;"",Calculator!F39,Sheet2!G33)</f>
        <v>0</v>
      </c>
      <c r="G33" s="163">
        <f>IF(Calculator!$F$35="1 Phase",(Calculator!$I$39/(Sheet3!B45*1.15)),IF(Calculator!$F$35="3 Phase",(Calculator!$I$39/(Sheet3!B46*1.15)),(Calculator!$I$39/(Sheet3!B43*1.15))))</f>
        <v>0</v>
      </c>
    </row>
    <row r="34" spans="1:7" x14ac:dyDescent="0.3">
      <c r="C34" s="3"/>
    </row>
    <row r="35" spans="1:7" x14ac:dyDescent="0.3">
      <c r="A35" s="9" t="s">
        <v>9</v>
      </c>
      <c r="B35" s="157">
        <f>IF((Calculator!$F$13&lt;=Sheet3!B3),0,((Calculator!$F$13-Sheet3!B3)*Sheet3!B2/12))</f>
        <v>0</v>
      </c>
      <c r="C35">
        <f>IF((Calculator!$F$13&lt;=Sheet3!C3),0,((Calculator!$F$13-Sheet3!C3)*Sheet3!C2/12))</f>
        <v>0</v>
      </c>
    </row>
    <row r="36" spans="1:7" ht="15" thickBot="1" x14ac:dyDescent="0.35"/>
    <row r="37" spans="1:7" x14ac:dyDescent="0.3">
      <c r="A37" s="141"/>
      <c r="B37" s="142"/>
      <c r="C37" s="143"/>
    </row>
    <row r="38" spans="1:7" x14ac:dyDescent="0.3">
      <c r="A38" s="144" t="s">
        <v>137</v>
      </c>
      <c r="B38" s="77">
        <f>Calculator!F11</f>
        <v>0</v>
      </c>
      <c r="C38" s="77"/>
    </row>
    <row r="39" spans="1:7" x14ac:dyDescent="0.3">
      <c r="A39" s="144"/>
      <c r="C39" s="77">
        <f>5%*C38</f>
        <v>0</v>
      </c>
    </row>
    <row r="40" spans="1:7" ht="15" thickBot="1" x14ac:dyDescent="0.35">
      <c r="A40" s="135" t="s">
        <v>138</v>
      </c>
      <c r="B40" s="77">
        <f>IF(Calculator!E15="Yes",B38/95%,B38)</f>
        <v>0</v>
      </c>
      <c r="C40" s="146"/>
    </row>
    <row r="41" spans="1:7" ht="15" thickBot="1" x14ac:dyDescent="0.35">
      <c r="A41" s="135" t="s">
        <v>138</v>
      </c>
      <c r="B41" s="150">
        <f>IF(Calculator!E17="Yes",B38/85%,B38)</f>
        <v>0</v>
      </c>
      <c r="C41" s="146"/>
    </row>
    <row r="42" spans="1:7" x14ac:dyDescent="0.3">
      <c r="A42" s="144" t="s">
        <v>141</v>
      </c>
      <c r="B42" s="77">
        <f>B25</f>
        <v>0</v>
      </c>
      <c r="C42" s="146"/>
    </row>
    <row r="43" spans="1:7" ht="4.2" customHeight="1" x14ac:dyDescent="0.3">
      <c r="A43" s="144"/>
      <c r="B43" s="77"/>
      <c r="C43" s="146"/>
    </row>
    <row r="44" spans="1:7" x14ac:dyDescent="0.3">
      <c r="A44" s="144"/>
      <c r="B44" s="77"/>
      <c r="C44" s="146"/>
    </row>
    <row r="45" spans="1:7" ht="15" thickBot="1" x14ac:dyDescent="0.35">
      <c r="A45" s="144"/>
      <c r="B45" s="77"/>
      <c r="C45" s="146"/>
    </row>
    <row r="46" spans="1:7" ht="15" thickBot="1" x14ac:dyDescent="0.35">
      <c r="A46" s="144"/>
      <c r="B46" s="150"/>
      <c r="C46" s="146"/>
    </row>
    <row r="47" spans="1:7" ht="15" thickBot="1" x14ac:dyDescent="0.35">
      <c r="A47" s="144"/>
      <c r="B47" s="150"/>
      <c r="C47" s="146"/>
    </row>
    <row r="48" spans="1:7" x14ac:dyDescent="0.3">
      <c r="A48" s="144"/>
      <c r="B48" s="77"/>
      <c r="C48" s="146"/>
    </row>
    <row r="49" spans="1:3" x14ac:dyDescent="0.3">
      <c r="A49" s="151"/>
      <c r="B49" s="13"/>
      <c r="C49" s="146"/>
    </row>
    <row r="50" spans="1:3" x14ac:dyDescent="0.3">
      <c r="A50" s="144"/>
      <c r="B50" s="77"/>
      <c r="C50" s="146"/>
    </row>
    <row r="51" spans="1:3" x14ac:dyDescent="0.3">
      <c r="A51" s="144"/>
      <c r="B51" s="145"/>
      <c r="C51" s="146"/>
    </row>
    <row r="52" spans="1:3" ht="15" thickBot="1" x14ac:dyDescent="0.35">
      <c r="A52" s="147"/>
      <c r="B52" s="148"/>
      <c r="C52" s="1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9971-4F1D-4C36-B2B8-FC09BD63BDA2}">
  <sheetPr codeName="Sheet3"/>
  <dimension ref="A1:I504"/>
  <sheetViews>
    <sheetView topLeftCell="A79" workbookViewId="0">
      <selection activeCell="I64" sqref="I64"/>
    </sheetView>
  </sheetViews>
  <sheetFormatPr defaultRowHeight="14.4" x14ac:dyDescent="0.3"/>
  <cols>
    <col min="1" max="1" width="22.109375" bestFit="1" customWidth="1"/>
    <col min="2" max="2" width="9.44140625" customWidth="1"/>
    <col min="3" max="3" width="13.21875" customWidth="1"/>
  </cols>
  <sheetData>
    <row r="1" spans="1:3" x14ac:dyDescent="0.3">
      <c r="B1" s="5" t="s">
        <v>55</v>
      </c>
      <c r="C1" s="5" t="s">
        <v>133</v>
      </c>
    </row>
    <row r="2" spans="1:3" x14ac:dyDescent="0.3">
      <c r="A2" s="1" t="s">
        <v>9</v>
      </c>
      <c r="B2">
        <v>6.0055000000000004E-3</v>
      </c>
      <c r="C2" s="11">
        <v>6.228E-3</v>
      </c>
    </row>
    <row r="3" spans="1:3" x14ac:dyDescent="0.3">
      <c r="B3">
        <v>350000</v>
      </c>
      <c r="C3" s="11">
        <v>350000</v>
      </c>
    </row>
    <row r="4" spans="1:3" x14ac:dyDescent="0.3">
      <c r="C4" s="11"/>
    </row>
    <row r="5" spans="1:3" x14ac:dyDescent="0.3">
      <c r="A5" s="1" t="s">
        <v>60</v>
      </c>
      <c r="C5" s="11"/>
    </row>
    <row r="6" spans="1:3" x14ac:dyDescent="0.3">
      <c r="A6" t="s">
        <v>11</v>
      </c>
      <c r="B6">
        <v>74.709999999999994</v>
      </c>
      <c r="C6" s="11">
        <f>ROUND(B6*1.077,2)</f>
        <v>80.459999999999994</v>
      </c>
    </row>
    <row r="7" spans="1:3" x14ac:dyDescent="0.3">
      <c r="A7" t="s">
        <v>47</v>
      </c>
      <c r="B7">
        <v>74.709999999999994</v>
      </c>
      <c r="C7" s="11">
        <f>ROUND(B7*1.077,2)</f>
        <v>80.459999999999994</v>
      </c>
    </row>
    <row r="8" spans="1:3" x14ac:dyDescent="0.3">
      <c r="A8" t="s">
        <v>48</v>
      </c>
      <c r="B8">
        <v>229.53</v>
      </c>
      <c r="C8" s="11">
        <f>ROUND(B8*1.077,2)</f>
        <v>247.2</v>
      </c>
    </row>
    <row r="9" spans="1:3" x14ac:dyDescent="0.3">
      <c r="A9" t="s">
        <v>75</v>
      </c>
      <c r="B9">
        <v>579.41999999999996</v>
      </c>
      <c r="C9" s="11">
        <f>ROUND(B9*1.077,2)</f>
        <v>624.04</v>
      </c>
    </row>
    <row r="10" spans="1:3" x14ac:dyDescent="0.3">
      <c r="A10" t="s">
        <v>49</v>
      </c>
      <c r="B10">
        <v>914.14</v>
      </c>
      <c r="C10" s="11">
        <f>ROUND(B10*1.077,2)</f>
        <v>984.53</v>
      </c>
    </row>
    <row r="11" spans="1:3" x14ac:dyDescent="0.3">
      <c r="A11" t="s">
        <v>50</v>
      </c>
      <c r="B11">
        <v>1096.96</v>
      </c>
      <c r="C11" s="11">
        <f>ROUND(B11*1.077,2)</f>
        <v>1181.43</v>
      </c>
    </row>
    <row r="12" spans="1:3" x14ac:dyDescent="0.3">
      <c r="A12" t="s">
        <v>51</v>
      </c>
      <c r="B12">
        <v>1206.67</v>
      </c>
      <c r="C12" s="11">
        <f>ROUND(B12*1.077,2)</f>
        <v>1299.58</v>
      </c>
    </row>
    <row r="13" spans="1:3" x14ac:dyDescent="0.3">
      <c r="C13" s="11"/>
    </row>
    <row r="14" spans="1:3" x14ac:dyDescent="0.3">
      <c r="A14" s="1" t="s">
        <v>92</v>
      </c>
      <c r="C14" s="11"/>
    </row>
    <row r="15" spans="1:3" x14ac:dyDescent="0.3">
      <c r="A15" s="1" t="s">
        <v>63</v>
      </c>
      <c r="C15" s="11"/>
    </row>
    <row r="16" spans="1:3" x14ac:dyDescent="0.3">
      <c r="A16" s="1" t="s">
        <v>64</v>
      </c>
      <c r="C16" s="11"/>
    </row>
    <row r="17" spans="1:4" x14ac:dyDescent="0.3">
      <c r="A17" s="1" t="s">
        <v>65</v>
      </c>
      <c r="C17" s="11"/>
    </row>
    <row r="18" spans="1:4" x14ac:dyDescent="0.3">
      <c r="A18" s="1"/>
      <c r="C18" s="11"/>
    </row>
    <row r="19" spans="1:4" x14ac:dyDescent="0.3">
      <c r="A19" s="1" t="s">
        <v>61</v>
      </c>
      <c r="C19" s="11"/>
    </row>
    <row r="20" spans="1:4" x14ac:dyDescent="0.3">
      <c r="A20" s="1" t="s">
        <v>64</v>
      </c>
      <c r="C20" s="11"/>
    </row>
    <row r="21" spans="1:4" x14ac:dyDescent="0.3">
      <c r="A21" t="s">
        <v>63</v>
      </c>
      <c r="B21">
        <v>0</v>
      </c>
      <c r="C21" s="11">
        <f>ROUND(B21*1.059,2)</f>
        <v>0</v>
      </c>
    </row>
    <row r="22" spans="1:4" x14ac:dyDescent="0.3">
      <c r="A22" s="6" t="s">
        <v>89</v>
      </c>
      <c r="B22">
        <v>0</v>
      </c>
      <c r="C22" s="11">
        <v>0</v>
      </c>
    </row>
    <row r="23" spans="1:4" x14ac:dyDescent="0.3">
      <c r="A23" s="6" t="s">
        <v>82</v>
      </c>
      <c r="B23" s="2">
        <v>278.7</v>
      </c>
      <c r="C23" s="11">
        <v>284.27</v>
      </c>
      <c r="D23" s="13"/>
    </row>
    <row r="24" spans="1:4" x14ac:dyDescent="0.3">
      <c r="A24" s="6" t="s">
        <v>83</v>
      </c>
      <c r="B24" s="2">
        <v>475.6</v>
      </c>
      <c r="C24" s="11">
        <v>485.11</v>
      </c>
    </row>
    <row r="25" spans="1:4" x14ac:dyDescent="0.3">
      <c r="A25" s="6" t="s">
        <v>84</v>
      </c>
      <c r="B25" s="2">
        <v>594.5</v>
      </c>
      <c r="C25" s="11">
        <v>606.39</v>
      </c>
    </row>
    <row r="26" spans="1:4" x14ac:dyDescent="0.3">
      <c r="A26" s="6" t="s">
        <v>86</v>
      </c>
      <c r="B26" s="2">
        <v>713.4</v>
      </c>
      <c r="C26" s="11">
        <v>727.67</v>
      </c>
    </row>
    <row r="27" spans="1:4" x14ac:dyDescent="0.3">
      <c r="A27" s="6" t="s">
        <v>87</v>
      </c>
      <c r="B27" s="2">
        <v>832.3</v>
      </c>
      <c r="C27" s="11">
        <v>848.95</v>
      </c>
    </row>
    <row r="28" spans="1:4" x14ac:dyDescent="0.3">
      <c r="A28" s="6" t="s">
        <v>85</v>
      </c>
      <c r="B28" s="2">
        <v>951.2</v>
      </c>
      <c r="C28" s="11">
        <v>970.22</v>
      </c>
    </row>
    <row r="29" spans="1:4" x14ac:dyDescent="0.3">
      <c r="A29" s="6" t="s">
        <v>88</v>
      </c>
      <c r="B29" s="2">
        <v>1070.0999999999999</v>
      </c>
      <c r="C29" s="11">
        <v>1091.5</v>
      </c>
    </row>
    <row r="30" spans="1:4" x14ac:dyDescent="0.3">
      <c r="A30" s="7" t="s">
        <v>65</v>
      </c>
      <c r="B30" s="2"/>
      <c r="C30" s="11"/>
    </row>
    <row r="31" spans="1:4" x14ac:dyDescent="0.3">
      <c r="A31" s="6" t="s">
        <v>89</v>
      </c>
      <c r="B31" s="2">
        <v>612</v>
      </c>
      <c r="C31" s="11">
        <v>624.24</v>
      </c>
    </row>
    <row r="32" spans="1:4" x14ac:dyDescent="0.3">
      <c r="A32" s="6" t="s">
        <v>82</v>
      </c>
      <c r="B32" s="2">
        <v>918</v>
      </c>
      <c r="C32" s="11">
        <v>936.36</v>
      </c>
    </row>
    <row r="33" spans="1:4" x14ac:dyDescent="0.3">
      <c r="A33" s="6" t="s">
        <v>83</v>
      </c>
      <c r="B33" s="2">
        <v>1224</v>
      </c>
      <c r="C33" s="11">
        <v>1248.48</v>
      </c>
    </row>
    <row r="34" spans="1:4" x14ac:dyDescent="0.3">
      <c r="A34" s="6" t="s">
        <v>84</v>
      </c>
      <c r="B34" s="2">
        <v>1530</v>
      </c>
      <c r="C34" s="11">
        <v>1560.6</v>
      </c>
    </row>
    <row r="35" spans="1:4" x14ac:dyDescent="0.3">
      <c r="A35" s="6" t="s">
        <v>86</v>
      </c>
      <c r="B35" s="2">
        <v>1836</v>
      </c>
      <c r="C35" s="11">
        <v>1872.72</v>
      </c>
    </row>
    <row r="36" spans="1:4" x14ac:dyDescent="0.3">
      <c r="A36" s="6" t="s">
        <v>87</v>
      </c>
      <c r="B36" s="2">
        <v>2142</v>
      </c>
      <c r="C36" s="11">
        <v>2184.84</v>
      </c>
    </row>
    <row r="37" spans="1:4" x14ac:dyDescent="0.3">
      <c r="A37" s="6" t="s">
        <v>85</v>
      </c>
      <c r="B37" s="2">
        <v>2448</v>
      </c>
      <c r="C37" s="11">
        <v>2496.96</v>
      </c>
      <c r="D37" s="137"/>
    </row>
    <row r="38" spans="1:4" x14ac:dyDescent="0.3">
      <c r="A38" s="6" t="s">
        <v>88</v>
      </c>
      <c r="B38" s="2">
        <v>2753</v>
      </c>
      <c r="C38" s="11">
        <f>ROUND(B38*1.02,2)</f>
        <v>2808.06</v>
      </c>
      <c r="D38" s="137"/>
    </row>
    <row r="39" spans="1:4" x14ac:dyDescent="0.3">
      <c r="A39" s="6" t="s">
        <v>90</v>
      </c>
      <c r="B39" s="2">
        <v>3060</v>
      </c>
      <c r="C39" s="11">
        <v>3121.2</v>
      </c>
      <c r="D39" s="137"/>
    </row>
    <row r="40" spans="1:4" x14ac:dyDescent="0.3">
      <c r="A40" s="6" t="s">
        <v>91</v>
      </c>
      <c r="B40" s="2">
        <v>4590</v>
      </c>
      <c r="C40" s="11">
        <v>4681.8</v>
      </c>
      <c r="D40" s="137"/>
    </row>
    <row r="41" spans="1:4" x14ac:dyDescent="0.3">
      <c r="C41" s="11"/>
    </row>
    <row r="42" spans="1:4" x14ac:dyDescent="0.3">
      <c r="A42" s="1" t="s">
        <v>62</v>
      </c>
      <c r="C42" s="11"/>
    </row>
    <row r="43" spans="1:4" x14ac:dyDescent="0.3">
      <c r="A43" t="s">
        <v>73</v>
      </c>
      <c r="B43">
        <v>2.2147000000000001</v>
      </c>
      <c r="C43" s="11">
        <v>2.3254000000000001</v>
      </c>
    </row>
    <row r="44" spans="1:4" x14ac:dyDescent="0.3">
      <c r="A44" t="s">
        <v>74</v>
      </c>
      <c r="B44">
        <v>3.0684999999999998</v>
      </c>
      <c r="C44" s="11">
        <v>3.2219000000000002</v>
      </c>
    </row>
    <row r="45" spans="1:4" x14ac:dyDescent="0.3">
      <c r="A45" t="s">
        <v>64</v>
      </c>
      <c r="B45">
        <v>2.891</v>
      </c>
      <c r="C45" s="11">
        <v>3.0356000000000001</v>
      </c>
    </row>
    <row r="46" spans="1:4" x14ac:dyDescent="0.3">
      <c r="A46" t="s">
        <v>65</v>
      </c>
      <c r="B46">
        <v>3.0684999999999998</v>
      </c>
      <c r="C46" s="11">
        <v>3.2219000000000002</v>
      </c>
    </row>
    <row r="47" spans="1:4" x14ac:dyDescent="0.3">
      <c r="C47" s="11"/>
    </row>
    <row r="48" spans="1:4" x14ac:dyDescent="0.3">
      <c r="A48" s="1" t="s">
        <v>17</v>
      </c>
      <c r="C48" s="11"/>
    </row>
    <row r="49" spans="1:9" x14ac:dyDescent="0.3">
      <c r="A49" t="s">
        <v>57</v>
      </c>
      <c r="B49">
        <v>127.25</v>
      </c>
      <c r="C49" s="11">
        <f>ROUND(1595.73/12,2)</f>
        <v>132.97999999999999</v>
      </c>
      <c r="F49" s="8">
        <v>92.161666666666676</v>
      </c>
      <c r="G49" s="8">
        <v>97.59999999999998</v>
      </c>
    </row>
    <row r="50" spans="1:9" x14ac:dyDescent="0.3">
      <c r="A50" t="s">
        <v>58</v>
      </c>
      <c r="B50">
        <v>70.86</v>
      </c>
      <c r="C50" s="11">
        <f>ROUND(888.55/12,2)</f>
        <v>74.05</v>
      </c>
      <c r="F50">
        <f>B49+B50+B50</f>
        <v>268.97000000000003</v>
      </c>
      <c r="G50">
        <f>C49+C50+C50</f>
        <v>281.08</v>
      </c>
    </row>
    <row r="51" spans="1:9" x14ac:dyDescent="0.3">
      <c r="C51" s="11"/>
    </row>
    <row r="52" spans="1:9" x14ac:dyDescent="0.3">
      <c r="A52" s="1" t="s">
        <v>7</v>
      </c>
      <c r="B52">
        <v>392.54</v>
      </c>
      <c r="C52" s="11">
        <v>410.2</v>
      </c>
    </row>
    <row r="53" spans="1:9" x14ac:dyDescent="0.3">
      <c r="C53" s="11"/>
    </row>
    <row r="54" spans="1:9" x14ac:dyDescent="0.3">
      <c r="A54" s="1" t="s">
        <v>66</v>
      </c>
      <c r="C54" s="11"/>
    </row>
    <row r="55" spans="1:9" x14ac:dyDescent="0.3">
      <c r="A55" t="s">
        <v>67</v>
      </c>
      <c r="B55">
        <v>25.91</v>
      </c>
      <c r="C55" s="11">
        <v>27.91</v>
      </c>
    </row>
    <row r="56" spans="1:9" x14ac:dyDescent="0.3">
      <c r="A56" s="4" t="s">
        <v>68</v>
      </c>
      <c r="B56" s="4">
        <v>9.3800000000000008</v>
      </c>
      <c r="C56" s="11">
        <v>10.1</v>
      </c>
      <c r="D56" s="4" t="s">
        <v>69</v>
      </c>
    </row>
    <row r="57" spans="1:9" x14ac:dyDescent="0.3">
      <c r="A57" t="s">
        <v>70</v>
      </c>
      <c r="C57" s="11"/>
    </row>
    <row r="58" spans="1:9" x14ac:dyDescent="0.3">
      <c r="A58" t="s">
        <v>71</v>
      </c>
      <c r="B58" t="s">
        <v>72</v>
      </c>
      <c r="C58" s="11" t="s">
        <v>72</v>
      </c>
    </row>
    <row r="59" spans="1:9" x14ac:dyDescent="0.3">
      <c r="A59">
        <v>0</v>
      </c>
      <c r="B59">
        <v>0</v>
      </c>
      <c r="C59" s="11">
        <v>0</v>
      </c>
    </row>
    <row r="60" spans="1:9" x14ac:dyDescent="0.3">
      <c r="A60">
        <v>1</v>
      </c>
      <c r="B60" s="2">
        <v>7.32</v>
      </c>
      <c r="C60" s="12">
        <f>(D60)+C59</f>
        <v>7.88</v>
      </c>
      <c r="D60" s="13">
        <v>7.88</v>
      </c>
    </row>
    <row r="61" spans="1:9" x14ac:dyDescent="0.3">
      <c r="A61">
        <v>2</v>
      </c>
      <c r="B61" s="2">
        <v>14.64</v>
      </c>
      <c r="C61" s="12">
        <f t="shared" ref="C61:C124" si="0">(D61)+C60</f>
        <v>15.76</v>
      </c>
      <c r="D61" s="13">
        <v>7.88</v>
      </c>
      <c r="E61" s="13">
        <f>B61-B60</f>
        <v>7.32</v>
      </c>
    </row>
    <row r="62" spans="1:9" x14ac:dyDescent="0.3">
      <c r="A62">
        <v>3</v>
      </c>
      <c r="B62" s="2">
        <v>21.96</v>
      </c>
      <c r="C62" s="12">
        <f t="shared" si="0"/>
        <v>23.64</v>
      </c>
      <c r="D62" s="13">
        <v>7.88</v>
      </c>
      <c r="E62" s="13">
        <f t="shared" ref="E62:E125" si="1">B62-B61</f>
        <v>7.32</v>
      </c>
    </row>
    <row r="63" spans="1:9" x14ac:dyDescent="0.3">
      <c r="A63">
        <v>4</v>
      </c>
      <c r="B63" s="2">
        <v>29.28</v>
      </c>
      <c r="C63" s="12">
        <f t="shared" si="0"/>
        <v>31.52</v>
      </c>
      <c r="D63" s="13">
        <v>7.88</v>
      </c>
      <c r="E63" s="13">
        <f t="shared" si="1"/>
        <v>7.32</v>
      </c>
    </row>
    <row r="64" spans="1:9" x14ac:dyDescent="0.3">
      <c r="A64">
        <v>5</v>
      </c>
      <c r="B64" s="2">
        <v>36.6</v>
      </c>
      <c r="C64" s="12">
        <f t="shared" si="0"/>
        <v>39.4</v>
      </c>
      <c r="D64" s="13">
        <v>7.88</v>
      </c>
      <c r="E64" s="13">
        <f t="shared" si="1"/>
        <v>7.32</v>
      </c>
      <c r="H64">
        <v>552.62</v>
      </c>
      <c r="I64">
        <f>H64*1.15</f>
        <v>635.51299999999992</v>
      </c>
    </row>
    <row r="65" spans="1:5" x14ac:dyDescent="0.3">
      <c r="A65">
        <v>6</v>
      </c>
      <c r="B65" s="2">
        <v>43.92</v>
      </c>
      <c r="C65" s="12">
        <f t="shared" si="0"/>
        <v>47.28</v>
      </c>
      <c r="D65" s="13">
        <v>7.88</v>
      </c>
      <c r="E65" s="13">
        <f t="shared" si="1"/>
        <v>7.32</v>
      </c>
    </row>
    <row r="66" spans="1:5" x14ac:dyDescent="0.3">
      <c r="A66">
        <v>7</v>
      </c>
      <c r="B66" s="2">
        <v>56.92</v>
      </c>
      <c r="C66" s="12">
        <f t="shared" si="0"/>
        <v>61.28</v>
      </c>
      <c r="D66" s="13">
        <v>14</v>
      </c>
      <c r="E66" s="13">
        <f t="shared" si="1"/>
        <v>13</v>
      </c>
    </row>
    <row r="67" spans="1:5" x14ac:dyDescent="0.3">
      <c r="A67">
        <v>8</v>
      </c>
      <c r="B67" s="2">
        <v>69.92</v>
      </c>
      <c r="C67" s="12">
        <f t="shared" si="0"/>
        <v>75.28</v>
      </c>
      <c r="D67" s="13">
        <v>14</v>
      </c>
      <c r="E67" s="13">
        <f t="shared" si="1"/>
        <v>13</v>
      </c>
    </row>
    <row r="68" spans="1:5" x14ac:dyDescent="0.3">
      <c r="A68">
        <v>9</v>
      </c>
      <c r="B68" s="2">
        <v>82.92</v>
      </c>
      <c r="C68" s="12">
        <f t="shared" si="0"/>
        <v>89.28</v>
      </c>
      <c r="D68" s="13">
        <v>14</v>
      </c>
      <c r="E68" s="13">
        <f t="shared" si="1"/>
        <v>13</v>
      </c>
    </row>
    <row r="69" spans="1:5" x14ac:dyDescent="0.3">
      <c r="A69">
        <v>10</v>
      </c>
      <c r="B69" s="2">
        <v>95.92</v>
      </c>
      <c r="C69" s="12">
        <f t="shared" si="0"/>
        <v>103.28</v>
      </c>
      <c r="D69" s="13">
        <v>14</v>
      </c>
      <c r="E69" s="13">
        <f t="shared" si="1"/>
        <v>13</v>
      </c>
    </row>
    <row r="70" spans="1:5" x14ac:dyDescent="0.3">
      <c r="A70">
        <v>11</v>
      </c>
      <c r="B70" s="2">
        <v>114.57</v>
      </c>
      <c r="C70" s="12">
        <f t="shared" si="0"/>
        <v>123.37</v>
      </c>
      <c r="D70" s="13">
        <v>20.09</v>
      </c>
      <c r="E70" s="13">
        <f t="shared" si="1"/>
        <v>18.649999999999991</v>
      </c>
    </row>
    <row r="71" spans="1:5" x14ac:dyDescent="0.3">
      <c r="A71">
        <v>12</v>
      </c>
      <c r="B71" s="2">
        <v>133.22</v>
      </c>
      <c r="C71" s="12">
        <f t="shared" si="0"/>
        <v>143.46</v>
      </c>
      <c r="D71" s="13">
        <v>20.09</v>
      </c>
      <c r="E71" s="13">
        <f t="shared" si="1"/>
        <v>18.650000000000006</v>
      </c>
    </row>
    <row r="72" spans="1:5" x14ac:dyDescent="0.3">
      <c r="A72">
        <v>13</v>
      </c>
      <c r="B72" s="2">
        <v>151.87</v>
      </c>
      <c r="C72" s="12">
        <f t="shared" si="0"/>
        <v>163.55000000000001</v>
      </c>
      <c r="D72" s="13">
        <v>20.09</v>
      </c>
      <c r="E72" s="13">
        <f t="shared" si="1"/>
        <v>18.650000000000006</v>
      </c>
    </row>
    <row r="73" spans="1:5" x14ac:dyDescent="0.3">
      <c r="A73">
        <v>14</v>
      </c>
      <c r="B73" s="2">
        <v>170.52</v>
      </c>
      <c r="C73" s="12">
        <f t="shared" si="0"/>
        <v>183.64000000000001</v>
      </c>
      <c r="D73" s="13">
        <v>20.09</v>
      </c>
      <c r="E73" s="13">
        <f t="shared" si="1"/>
        <v>18.650000000000006</v>
      </c>
    </row>
    <row r="74" spans="1:5" x14ac:dyDescent="0.3">
      <c r="A74">
        <v>15</v>
      </c>
      <c r="B74" s="2">
        <v>189.17000000000002</v>
      </c>
      <c r="C74" s="12">
        <f t="shared" si="0"/>
        <v>203.73000000000002</v>
      </c>
      <c r="D74" s="13">
        <v>20.09</v>
      </c>
      <c r="E74" s="13">
        <f t="shared" si="1"/>
        <v>18.650000000000006</v>
      </c>
    </row>
    <row r="75" spans="1:5" x14ac:dyDescent="0.3">
      <c r="A75">
        <v>16</v>
      </c>
      <c r="B75" s="2">
        <v>213.4</v>
      </c>
      <c r="C75" s="12">
        <f t="shared" si="0"/>
        <v>229.83</v>
      </c>
      <c r="D75" s="13">
        <v>26.1</v>
      </c>
      <c r="E75" s="13">
        <f t="shared" si="1"/>
        <v>24.22999999999999</v>
      </c>
    </row>
    <row r="76" spans="1:5" x14ac:dyDescent="0.3">
      <c r="A76">
        <v>17</v>
      </c>
      <c r="B76" s="2">
        <v>237.63</v>
      </c>
      <c r="C76" s="12">
        <f t="shared" si="0"/>
        <v>255.93</v>
      </c>
      <c r="D76" s="13">
        <v>26.1</v>
      </c>
      <c r="E76" s="13">
        <f t="shared" si="1"/>
        <v>24.22999999999999</v>
      </c>
    </row>
    <row r="77" spans="1:5" x14ac:dyDescent="0.3">
      <c r="A77">
        <v>18</v>
      </c>
      <c r="B77" s="2">
        <v>261.86</v>
      </c>
      <c r="C77" s="12">
        <f t="shared" si="0"/>
        <v>282.03000000000003</v>
      </c>
      <c r="D77" s="13">
        <v>26.1</v>
      </c>
      <c r="E77" s="13">
        <f t="shared" si="1"/>
        <v>24.230000000000018</v>
      </c>
    </row>
    <row r="78" spans="1:5" x14ac:dyDescent="0.3">
      <c r="A78">
        <v>19</v>
      </c>
      <c r="B78" s="2">
        <v>286.09000000000003</v>
      </c>
      <c r="C78" s="12">
        <f t="shared" si="0"/>
        <v>308.13000000000005</v>
      </c>
      <c r="D78" s="13">
        <v>26.1</v>
      </c>
      <c r="E78" s="13">
        <f t="shared" si="1"/>
        <v>24.230000000000018</v>
      </c>
    </row>
    <row r="79" spans="1:5" x14ac:dyDescent="0.3">
      <c r="A79">
        <v>20</v>
      </c>
      <c r="B79" s="2">
        <v>310.32000000000005</v>
      </c>
      <c r="C79" s="12">
        <f t="shared" si="0"/>
        <v>334.23000000000008</v>
      </c>
      <c r="D79" s="13">
        <v>26.1</v>
      </c>
      <c r="E79" s="13">
        <f t="shared" si="1"/>
        <v>24.230000000000018</v>
      </c>
    </row>
    <row r="80" spans="1:5" x14ac:dyDescent="0.3">
      <c r="A80">
        <v>21</v>
      </c>
      <c r="B80" s="2">
        <v>334.55000000000007</v>
      </c>
      <c r="C80" s="12">
        <f t="shared" si="0"/>
        <v>360.3300000000001</v>
      </c>
      <c r="D80" s="13">
        <v>26.1</v>
      </c>
      <c r="E80" s="13">
        <f t="shared" si="1"/>
        <v>24.230000000000018</v>
      </c>
    </row>
    <row r="81" spans="1:5" x14ac:dyDescent="0.3">
      <c r="A81">
        <v>22</v>
      </c>
      <c r="B81" s="2">
        <v>358.78000000000009</v>
      </c>
      <c r="C81" s="12">
        <f t="shared" si="0"/>
        <v>386.43000000000012</v>
      </c>
      <c r="D81" s="13">
        <v>26.1</v>
      </c>
      <c r="E81" s="13">
        <f t="shared" si="1"/>
        <v>24.230000000000018</v>
      </c>
    </row>
    <row r="82" spans="1:5" x14ac:dyDescent="0.3">
      <c r="A82">
        <v>23</v>
      </c>
      <c r="B82" s="2">
        <v>383.0100000000001</v>
      </c>
      <c r="C82" s="12">
        <f t="shared" si="0"/>
        <v>412.53000000000014</v>
      </c>
      <c r="D82" s="13">
        <v>26.1</v>
      </c>
      <c r="E82" s="13">
        <f t="shared" si="1"/>
        <v>24.230000000000018</v>
      </c>
    </row>
    <row r="83" spans="1:5" x14ac:dyDescent="0.3">
      <c r="A83">
        <v>24</v>
      </c>
      <c r="B83" s="2">
        <v>407.24000000000012</v>
      </c>
      <c r="C83" s="12">
        <f t="shared" si="0"/>
        <v>438.63000000000017</v>
      </c>
      <c r="D83" s="13">
        <v>26.1</v>
      </c>
      <c r="E83" s="13">
        <f t="shared" si="1"/>
        <v>24.230000000000018</v>
      </c>
    </row>
    <row r="84" spans="1:5" x14ac:dyDescent="0.3">
      <c r="A84">
        <v>25</v>
      </c>
      <c r="B84" s="2">
        <v>431.47000000000014</v>
      </c>
      <c r="C84" s="12">
        <f t="shared" si="0"/>
        <v>464.73000000000019</v>
      </c>
      <c r="D84" s="13">
        <v>26.1</v>
      </c>
      <c r="E84" s="13">
        <f t="shared" si="1"/>
        <v>24.230000000000018</v>
      </c>
    </row>
    <row r="85" spans="1:5" x14ac:dyDescent="0.3">
      <c r="A85">
        <v>26</v>
      </c>
      <c r="B85" s="2">
        <v>455.70000000000016</v>
      </c>
      <c r="C85" s="12">
        <f t="shared" si="0"/>
        <v>490.83000000000021</v>
      </c>
      <c r="D85" s="13">
        <v>26.1</v>
      </c>
      <c r="E85" s="13">
        <f t="shared" si="1"/>
        <v>24.230000000000018</v>
      </c>
    </row>
    <row r="86" spans="1:5" x14ac:dyDescent="0.3">
      <c r="A86">
        <v>27</v>
      </c>
      <c r="B86" s="2">
        <v>479.93000000000018</v>
      </c>
      <c r="C86" s="12">
        <f t="shared" si="0"/>
        <v>516.93000000000018</v>
      </c>
      <c r="D86" s="13">
        <v>26.1</v>
      </c>
      <c r="E86" s="13">
        <f t="shared" si="1"/>
        <v>24.230000000000018</v>
      </c>
    </row>
    <row r="87" spans="1:5" x14ac:dyDescent="0.3">
      <c r="A87">
        <v>28</v>
      </c>
      <c r="B87" s="2">
        <v>504.1600000000002</v>
      </c>
      <c r="C87" s="12">
        <f t="shared" si="0"/>
        <v>543.0300000000002</v>
      </c>
      <c r="D87" s="13">
        <v>26.1</v>
      </c>
      <c r="E87" s="13">
        <f t="shared" si="1"/>
        <v>24.230000000000018</v>
      </c>
    </row>
    <row r="88" spans="1:5" x14ac:dyDescent="0.3">
      <c r="A88">
        <v>29</v>
      </c>
      <c r="B88" s="2">
        <v>528.39000000000021</v>
      </c>
      <c r="C88" s="12">
        <f t="shared" si="0"/>
        <v>569.13000000000022</v>
      </c>
      <c r="D88" s="13">
        <v>26.1</v>
      </c>
      <c r="E88" s="13">
        <f t="shared" si="1"/>
        <v>24.230000000000018</v>
      </c>
    </row>
    <row r="89" spans="1:5" x14ac:dyDescent="0.3">
      <c r="A89">
        <v>30</v>
      </c>
      <c r="B89" s="2">
        <v>552.62000000000023</v>
      </c>
      <c r="C89" s="12">
        <f t="shared" si="0"/>
        <v>595.23000000000025</v>
      </c>
      <c r="D89" s="13">
        <v>26.1</v>
      </c>
      <c r="E89" s="13">
        <f t="shared" si="1"/>
        <v>24.230000000000018</v>
      </c>
    </row>
    <row r="90" spans="1:5" x14ac:dyDescent="0.3">
      <c r="A90">
        <v>31</v>
      </c>
      <c r="B90" s="2">
        <v>586.45000000000027</v>
      </c>
      <c r="C90" s="12">
        <f t="shared" si="0"/>
        <v>631.6600000000002</v>
      </c>
      <c r="D90" s="13">
        <v>36.43</v>
      </c>
      <c r="E90" s="13">
        <f t="shared" si="1"/>
        <v>33.830000000000041</v>
      </c>
    </row>
    <row r="91" spans="1:5" x14ac:dyDescent="0.3">
      <c r="A91">
        <v>32</v>
      </c>
      <c r="B91" s="2">
        <v>620.28000000000031</v>
      </c>
      <c r="C91" s="12">
        <f t="shared" si="0"/>
        <v>668.09000000000015</v>
      </c>
      <c r="D91" s="13">
        <v>36.43</v>
      </c>
      <c r="E91" s="13">
        <f t="shared" si="1"/>
        <v>33.830000000000041</v>
      </c>
    </row>
    <row r="92" spans="1:5" x14ac:dyDescent="0.3">
      <c r="A92">
        <v>33</v>
      </c>
      <c r="B92" s="2">
        <v>654.11000000000035</v>
      </c>
      <c r="C92" s="12">
        <f t="shared" si="0"/>
        <v>704.5200000000001</v>
      </c>
      <c r="D92" s="13">
        <v>36.43</v>
      </c>
      <c r="E92" s="13">
        <f t="shared" si="1"/>
        <v>33.830000000000041</v>
      </c>
    </row>
    <row r="93" spans="1:5" x14ac:dyDescent="0.3">
      <c r="A93">
        <v>34</v>
      </c>
      <c r="B93" s="2">
        <v>687.9400000000004</v>
      </c>
      <c r="C93" s="12">
        <f t="shared" si="0"/>
        <v>740.95</v>
      </c>
      <c r="D93" s="13">
        <v>36.43</v>
      </c>
      <c r="E93" s="13">
        <f t="shared" si="1"/>
        <v>33.830000000000041</v>
      </c>
    </row>
    <row r="94" spans="1:5" x14ac:dyDescent="0.3">
      <c r="A94">
        <v>35</v>
      </c>
      <c r="B94" s="2">
        <v>721.77000000000044</v>
      </c>
      <c r="C94" s="12">
        <f t="shared" si="0"/>
        <v>777.38</v>
      </c>
      <c r="D94" s="13">
        <v>36.43</v>
      </c>
      <c r="E94" s="13">
        <f t="shared" si="1"/>
        <v>33.830000000000041</v>
      </c>
    </row>
    <row r="95" spans="1:5" x14ac:dyDescent="0.3">
      <c r="A95">
        <v>36</v>
      </c>
      <c r="B95" s="2">
        <v>755.60000000000048</v>
      </c>
      <c r="C95" s="12">
        <f t="shared" si="0"/>
        <v>813.81</v>
      </c>
      <c r="D95" s="13">
        <v>36.43</v>
      </c>
      <c r="E95" s="13">
        <f t="shared" si="1"/>
        <v>33.830000000000041</v>
      </c>
    </row>
    <row r="96" spans="1:5" x14ac:dyDescent="0.3">
      <c r="A96">
        <v>37</v>
      </c>
      <c r="B96" s="2">
        <v>789.43000000000052</v>
      </c>
      <c r="C96" s="12">
        <f t="shared" si="0"/>
        <v>850.2399999999999</v>
      </c>
      <c r="D96" s="13">
        <v>36.43</v>
      </c>
      <c r="E96" s="13">
        <f t="shared" si="1"/>
        <v>33.830000000000041</v>
      </c>
    </row>
    <row r="97" spans="1:7" x14ac:dyDescent="0.3">
      <c r="A97">
        <v>38</v>
      </c>
      <c r="B97" s="2">
        <v>823.26000000000056</v>
      </c>
      <c r="C97" s="12">
        <f t="shared" si="0"/>
        <v>886.66999999999985</v>
      </c>
      <c r="D97" s="13">
        <v>36.43</v>
      </c>
      <c r="E97" s="13">
        <f t="shared" si="1"/>
        <v>33.830000000000041</v>
      </c>
    </row>
    <row r="98" spans="1:7" x14ac:dyDescent="0.3">
      <c r="A98">
        <v>39</v>
      </c>
      <c r="B98" s="2">
        <v>857.0900000000006</v>
      </c>
      <c r="C98" s="12">
        <f t="shared" si="0"/>
        <v>923.0999999999998</v>
      </c>
      <c r="D98" s="13">
        <v>36.43</v>
      </c>
      <c r="E98" s="13">
        <f t="shared" si="1"/>
        <v>33.830000000000041</v>
      </c>
    </row>
    <row r="99" spans="1:7" x14ac:dyDescent="0.3">
      <c r="A99">
        <v>40</v>
      </c>
      <c r="B99" s="2">
        <v>890.92000000000064</v>
      </c>
      <c r="C99" s="12">
        <f t="shared" si="0"/>
        <v>959.52999999999975</v>
      </c>
      <c r="D99" s="13">
        <v>36.43</v>
      </c>
      <c r="E99" s="13">
        <f t="shared" si="1"/>
        <v>33.830000000000041</v>
      </c>
    </row>
    <row r="100" spans="1:7" x14ac:dyDescent="0.3">
      <c r="A100">
        <v>41</v>
      </c>
      <c r="B100" s="2">
        <v>924.75000000000068</v>
      </c>
      <c r="C100" s="12">
        <f t="shared" si="0"/>
        <v>995.9599999999997</v>
      </c>
      <c r="D100" s="13">
        <v>36.43</v>
      </c>
      <c r="E100" s="13">
        <f t="shared" si="1"/>
        <v>33.830000000000041</v>
      </c>
    </row>
    <row r="101" spans="1:7" x14ac:dyDescent="0.3">
      <c r="A101">
        <v>42</v>
      </c>
      <c r="B101" s="2">
        <v>958.58000000000072</v>
      </c>
      <c r="C101" s="12">
        <f t="shared" si="0"/>
        <v>1032.3899999999996</v>
      </c>
      <c r="D101" s="13">
        <v>36.43</v>
      </c>
      <c r="E101" s="13">
        <f t="shared" si="1"/>
        <v>33.830000000000041</v>
      </c>
    </row>
    <row r="102" spans="1:7" x14ac:dyDescent="0.3">
      <c r="A102">
        <v>43</v>
      </c>
      <c r="B102" s="2">
        <v>992.41000000000076</v>
      </c>
      <c r="C102" s="12">
        <f t="shared" si="0"/>
        <v>1068.8199999999997</v>
      </c>
      <c r="D102" s="13">
        <v>36.43</v>
      </c>
      <c r="E102" s="13">
        <f t="shared" si="1"/>
        <v>33.830000000000041</v>
      </c>
    </row>
    <row r="103" spans="1:7" x14ac:dyDescent="0.3">
      <c r="A103">
        <v>44</v>
      </c>
      <c r="B103" s="2">
        <v>1026.2400000000007</v>
      </c>
      <c r="C103" s="12">
        <f t="shared" si="0"/>
        <v>1105.2499999999998</v>
      </c>
      <c r="D103" s="13">
        <v>36.43</v>
      </c>
      <c r="E103" s="13">
        <f t="shared" si="1"/>
        <v>33.829999999999927</v>
      </c>
    </row>
    <row r="104" spans="1:7" x14ac:dyDescent="0.3">
      <c r="A104">
        <v>45</v>
      </c>
      <c r="B104" s="2">
        <v>1060.0700000000006</v>
      </c>
      <c r="C104" s="12">
        <f t="shared" si="0"/>
        <v>1141.6799999999998</v>
      </c>
      <c r="D104" s="13">
        <v>36.43</v>
      </c>
      <c r="E104" s="13">
        <f t="shared" si="1"/>
        <v>33.829999999999927</v>
      </c>
    </row>
    <row r="105" spans="1:7" x14ac:dyDescent="0.3">
      <c r="A105">
        <v>46</v>
      </c>
      <c r="B105" s="2">
        <v>1137.5600000000006</v>
      </c>
      <c r="C105" s="12">
        <f t="shared" si="0"/>
        <v>1218.6699999999998</v>
      </c>
      <c r="D105" s="13">
        <v>76.989999999999995</v>
      </c>
      <c r="E105" s="13">
        <f t="shared" si="1"/>
        <v>77.490000000000009</v>
      </c>
      <c r="G105" s="13"/>
    </row>
    <row r="106" spans="1:7" x14ac:dyDescent="0.3">
      <c r="A106">
        <v>47</v>
      </c>
      <c r="B106" s="2">
        <v>1215.0500000000006</v>
      </c>
      <c r="C106" s="12">
        <f t="shared" si="0"/>
        <v>1295.6599999999999</v>
      </c>
      <c r="D106" s="13">
        <v>76.989999999999995</v>
      </c>
      <c r="E106" s="13">
        <f t="shared" si="1"/>
        <v>77.490000000000009</v>
      </c>
    </row>
    <row r="107" spans="1:7" x14ac:dyDescent="0.3">
      <c r="A107">
        <v>48</v>
      </c>
      <c r="B107" s="2">
        <v>1292.5400000000006</v>
      </c>
      <c r="C107" s="12">
        <f t="shared" si="0"/>
        <v>1372.6499999999999</v>
      </c>
      <c r="D107" s="13">
        <v>76.989999999999995</v>
      </c>
      <c r="E107" s="13">
        <f t="shared" si="1"/>
        <v>77.490000000000009</v>
      </c>
    </row>
    <row r="108" spans="1:7" x14ac:dyDescent="0.3">
      <c r="A108">
        <v>49</v>
      </c>
      <c r="B108" s="2">
        <v>1370.0300000000007</v>
      </c>
      <c r="C108" s="12">
        <f t="shared" si="0"/>
        <v>1449.6399999999999</v>
      </c>
      <c r="D108" s="13">
        <v>76.989999999999995</v>
      </c>
      <c r="E108" s="13">
        <f t="shared" si="1"/>
        <v>77.490000000000009</v>
      </c>
    </row>
    <row r="109" spans="1:7" x14ac:dyDescent="0.3">
      <c r="A109">
        <v>50</v>
      </c>
      <c r="B109" s="2">
        <v>1447.5200000000007</v>
      </c>
      <c r="C109" s="12">
        <f t="shared" si="0"/>
        <v>1526.6299999999999</v>
      </c>
      <c r="D109" s="13">
        <v>76.989999999999995</v>
      </c>
      <c r="E109" s="13">
        <f t="shared" si="1"/>
        <v>77.490000000000009</v>
      </c>
    </row>
    <row r="110" spans="1:7" x14ac:dyDescent="0.3">
      <c r="A110">
        <v>51</v>
      </c>
      <c r="B110" s="2">
        <v>1525.0100000000007</v>
      </c>
      <c r="C110" s="12">
        <f t="shared" si="0"/>
        <v>1603.62</v>
      </c>
      <c r="D110" s="13">
        <v>76.989999999999995</v>
      </c>
      <c r="E110" s="13">
        <f t="shared" si="1"/>
        <v>77.490000000000009</v>
      </c>
    </row>
    <row r="111" spans="1:7" x14ac:dyDescent="0.3">
      <c r="A111">
        <v>52</v>
      </c>
      <c r="B111" s="2">
        <v>1602.5000000000007</v>
      </c>
      <c r="C111" s="12">
        <f t="shared" si="0"/>
        <v>1680.61</v>
      </c>
      <c r="D111" s="13">
        <v>76.989999999999995</v>
      </c>
      <c r="E111" s="13">
        <f t="shared" si="1"/>
        <v>77.490000000000009</v>
      </c>
    </row>
    <row r="112" spans="1:7" x14ac:dyDescent="0.3">
      <c r="A112">
        <v>53</v>
      </c>
      <c r="B112" s="2">
        <v>1679.9900000000007</v>
      </c>
      <c r="C112" s="12">
        <f t="shared" si="0"/>
        <v>1757.6</v>
      </c>
      <c r="D112" s="13">
        <v>76.989999999999995</v>
      </c>
      <c r="E112" s="13">
        <f t="shared" si="1"/>
        <v>77.490000000000009</v>
      </c>
    </row>
    <row r="113" spans="1:5" x14ac:dyDescent="0.3">
      <c r="A113">
        <v>54</v>
      </c>
      <c r="B113" s="2">
        <v>1757.4800000000007</v>
      </c>
      <c r="C113" s="12">
        <f t="shared" si="0"/>
        <v>1834.59</v>
      </c>
      <c r="D113" s="13">
        <v>76.989999999999995</v>
      </c>
      <c r="E113" s="13">
        <f t="shared" si="1"/>
        <v>77.490000000000009</v>
      </c>
    </row>
    <row r="114" spans="1:5" x14ac:dyDescent="0.3">
      <c r="A114">
        <v>55</v>
      </c>
      <c r="B114" s="2">
        <v>1834.9700000000007</v>
      </c>
      <c r="C114" s="12">
        <f t="shared" si="0"/>
        <v>1911.58</v>
      </c>
      <c r="D114" s="13">
        <v>76.989999999999995</v>
      </c>
      <c r="E114" s="13">
        <f t="shared" si="1"/>
        <v>77.490000000000009</v>
      </c>
    </row>
    <row r="115" spans="1:5" x14ac:dyDescent="0.3">
      <c r="A115">
        <v>56</v>
      </c>
      <c r="B115" s="2">
        <v>1942.2200000000007</v>
      </c>
      <c r="C115" s="12">
        <f t="shared" si="0"/>
        <v>2027.09</v>
      </c>
      <c r="D115" s="13">
        <v>115.51</v>
      </c>
      <c r="E115" s="13">
        <f t="shared" si="1"/>
        <v>107.25</v>
      </c>
    </row>
    <row r="116" spans="1:5" x14ac:dyDescent="0.3">
      <c r="A116">
        <v>57</v>
      </c>
      <c r="B116" s="2">
        <v>2049.4700000000007</v>
      </c>
      <c r="C116" s="12">
        <f t="shared" si="0"/>
        <v>2142.6</v>
      </c>
      <c r="D116" s="13">
        <v>115.51</v>
      </c>
      <c r="E116" s="13">
        <f t="shared" si="1"/>
        <v>107.25</v>
      </c>
    </row>
    <row r="117" spans="1:5" x14ac:dyDescent="0.3">
      <c r="A117">
        <v>58</v>
      </c>
      <c r="B117" s="2">
        <v>2156.7200000000007</v>
      </c>
      <c r="C117" s="12">
        <f t="shared" si="0"/>
        <v>2258.11</v>
      </c>
      <c r="D117" s="13">
        <v>115.51</v>
      </c>
      <c r="E117" s="13">
        <f t="shared" si="1"/>
        <v>107.25</v>
      </c>
    </row>
    <row r="118" spans="1:5" x14ac:dyDescent="0.3">
      <c r="A118">
        <v>59</v>
      </c>
      <c r="B118" s="2">
        <v>2263.9700000000007</v>
      </c>
      <c r="C118" s="12">
        <f t="shared" si="0"/>
        <v>2373.6200000000003</v>
      </c>
      <c r="D118" s="13">
        <v>115.51</v>
      </c>
      <c r="E118" s="13">
        <f t="shared" si="1"/>
        <v>107.25</v>
      </c>
    </row>
    <row r="119" spans="1:5" x14ac:dyDescent="0.3">
      <c r="A119">
        <v>60</v>
      </c>
      <c r="B119" s="2">
        <v>2371.2200000000007</v>
      </c>
      <c r="C119" s="12">
        <f t="shared" si="0"/>
        <v>2489.1300000000006</v>
      </c>
      <c r="D119" s="13">
        <v>115.51</v>
      </c>
      <c r="E119" s="13">
        <f t="shared" si="1"/>
        <v>107.25</v>
      </c>
    </row>
    <row r="120" spans="1:5" x14ac:dyDescent="0.3">
      <c r="A120">
        <v>61</v>
      </c>
      <c r="B120" s="2">
        <v>2478.4700000000007</v>
      </c>
      <c r="C120" s="12">
        <f t="shared" si="0"/>
        <v>2604.6400000000008</v>
      </c>
      <c r="D120" s="13">
        <v>115.51</v>
      </c>
      <c r="E120" s="13">
        <f t="shared" si="1"/>
        <v>107.25</v>
      </c>
    </row>
    <row r="121" spans="1:5" x14ac:dyDescent="0.3">
      <c r="A121">
        <v>62</v>
      </c>
      <c r="B121" s="2">
        <v>2585.7200000000007</v>
      </c>
      <c r="C121" s="12">
        <f t="shared" si="0"/>
        <v>2720.150000000001</v>
      </c>
      <c r="D121" s="13">
        <v>115.51</v>
      </c>
      <c r="E121" s="13">
        <f t="shared" si="1"/>
        <v>107.25</v>
      </c>
    </row>
    <row r="122" spans="1:5" x14ac:dyDescent="0.3">
      <c r="A122">
        <v>63</v>
      </c>
      <c r="B122" s="2">
        <v>2692.9700000000007</v>
      </c>
      <c r="C122" s="12">
        <f t="shared" si="0"/>
        <v>2835.6600000000012</v>
      </c>
      <c r="D122" s="13">
        <v>115.51</v>
      </c>
      <c r="E122" s="13">
        <f t="shared" si="1"/>
        <v>107.25</v>
      </c>
    </row>
    <row r="123" spans="1:5" x14ac:dyDescent="0.3">
      <c r="A123">
        <v>64</v>
      </c>
      <c r="B123" s="2">
        <v>2800.2200000000007</v>
      </c>
      <c r="C123" s="12">
        <f t="shared" si="0"/>
        <v>2951.1700000000014</v>
      </c>
      <c r="D123" s="13">
        <v>115.51</v>
      </c>
      <c r="E123" s="13">
        <f t="shared" si="1"/>
        <v>107.25</v>
      </c>
    </row>
    <row r="124" spans="1:5" x14ac:dyDescent="0.3">
      <c r="A124">
        <v>65</v>
      </c>
      <c r="B124" s="2">
        <v>2907.4700000000007</v>
      </c>
      <c r="C124" s="12">
        <f t="shared" si="0"/>
        <v>3066.6800000000017</v>
      </c>
      <c r="D124" s="13">
        <v>115.51</v>
      </c>
      <c r="E124" s="13">
        <f t="shared" si="1"/>
        <v>107.25</v>
      </c>
    </row>
    <row r="125" spans="1:5" x14ac:dyDescent="0.3">
      <c r="A125">
        <v>66</v>
      </c>
      <c r="B125" s="2">
        <v>3014.7200000000007</v>
      </c>
      <c r="C125" s="12">
        <f t="shared" ref="C125:C188" si="2">(D125)+C124</f>
        <v>3182.1900000000019</v>
      </c>
      <c r="D125" s="13">
        <v>115.51</v>
      </c>
      <c r="E125" s="13">
        <f t="shared" si="1"/>
        <v>107.25</v>
      </c>
    </row>
    <row r="126" spans="1:5" x14ac:dyDescent="0.3">
      <c r="A126">
        <v>67</v>
      </c>
      <c r="B126" s="2">
        <v>3121.9700000000007</v>
      </c>
      <c r="C126" s="12">
        <f t="shared" si="2"/>
        <v>3297.7000000000021</v>
      </c>
      <c r="D126" s="13">
        <v>115.51</v>
      </c>
      <c r="E126" s="13">
        <f t="shared" ref="E126:E179" si="3">B126-B125</f>
        <v>107.25</v>
      </c>
    </row>
    <row r="127" spans="1:5" x14ac:dyDescent="0.3">
      <c r="A127">
        <v>68</v>
      </c>
      <c r="B127" s="2">
        <v>3229.2200000000007</v>
      </c>
      <c r="C127" s="12">
        <f t="shared" si="2"/>
        <v>3413.2100000000023</v>
      </c>
      <c r="D127" s="13">
        <v>115.51</v>
      </c>
      <c r="E127" s="13">
        <f t="shared" si="3"/>
        <v>107.25</v>
      </c>
    </row>
    <row r="128" spans="1:5" x14ac:dyDescent="0.3">
      <c r="A128">
        <v>69</v>
      </c>
      <c r="B128" s="2">
        <v>3336.4700000000007</v>
      </c>
      <c r="C128" s="12">
        <f t="shared" si="2"/>
        <v>3528.7200000000025</v>
      </c>
      <c r="D128" s="13">
        <v>115.51</v>
      </c>
      <c r="E128" s="13">
        <f t="shared" si="3"/>
        <v>107.25</v>
      </c>
    </row>
    <row r="129" spans="1:5" x14ac:dyDescent="0.3">
      <c r="A129">
        <v>70</v>
      </c>
      <c r="B129" s="2">
        <v>3443.7200000000007</v>
      </c>
      <c r="C129" s="12">
        <f t="shared" si="2"/>
        <v>3644.2300000000027</v>
      </c>
      <c r="D129" s="13">
        <v>115.51</v>
      </c>
      <c r="E129" s="13">
        <f t="shared" si="3"/>
        <v>107.25</v>
      </c>
    </row>
    <row r="130" spans="1:5" x14ac:dyDescent="0.3">
      <c r="A130">
        <v>71</v>
      </c>
      <c r="B130" s="2">
        <v>3550.9700000000007</v>
      </c>
      <c r="C130" s="12">
        <f t="shared" si="2"/>
        <v>3759.740000000003</v>
      </c>
      <c r="D130" s="13">
        <v>115.51</v>
      </c>
      <c r="E130" s="13">
        <f t="shared" si="3"/>
        <v>107.25</v>
      </c>
    </row>
    <row r="131" spans="1:5" x14ac:dyDescent="0.3">
      <c r="A131">
        <v>72</v>
      </c>
      <c r="B131" s="2">
        <v>3658.2200000000007</v>
      </c>
      <c r="C131" s="12">
        <f t="shared" si="2"/>
        <v>3875.2500000000032</v>
      </c>
      <c r="D131" s="13">
        <v>115.51</v>
      </c>
      <c r="E131" s="13">
        <f t="shared" si="3"/>
        <v>107.25</v>
      </c>
    </row>
    <row r="132" spans="1:5" x14ac:dyDescent="0.3">
      <c r="A132">
        <v>73</v>
      </c>
      <c r="B132" s="2">
        <v>3765.4700000000007</v>
      </c>
      <c r="C132" s="12">
        <f t="shared" si="2"/>
        <v>3990.7600000000034</v>
      </c>
      <c r="D132" s="13">
        <v>115.51</v>
      </c>
      <c r="E132" s="13">
        <f t="shared" si="3"/>
        <v>107.25</v>
      </c>
    </row>
    <row r="133" spans="1:5" x14ac:dyDescent="0.3">
      <c r="A133">
        <v>74</v>
      </c>
      <c r="B133" s="2">
        <v>3872.7200000000007</v>
      </c>
      <c r="C133" s="12">
        <f t="shared" si="2"/>
        <v>4106.2700000000032</v>
      </c>
      <c r="D133" s="13">
        <v>115.51</v>
      </c>
      <c r="E133" s="13">
        <f t="shared" si="3"/>
        <v>107.25</v>
      </c>
    </row>
    <row r="134" spans="1:5" x14ac:dyDescent="0.3">
      <c r="A134">
        <v>75</v>
      </c>
      <c r="B134" s="2">
        <v>3979.9700000000007</v>
      </c>
      <c r="C134" s="12">
        <f t="shared" si="2"/>
        <v>4221.7800000000034</v>
      </c>
      <c r="D134" s="13">
        <v>115.51</v>
      </c>
      <c r="E134" s="13">
        <f t="shared" si="3"/>
        <v>107.25</v>
      </c>
    </row>
    <row r="135" spans="1:5" x14ac:dyDescent="0.3">
      <c r="A135">
        <v>76</v>
      </c>
      <c r="B135" s="2">
        <v>4087.2200000000007</v>
      </c>
      <c r="C135" s="12">
        <f t="shared" si="2"/>
        <v>4337.2900000000036</v>
      </c>
      <c r="D135" s="13">
        <v>115.51</v>
      </c>
      <c r="E135" s="13">
        <f t="shared" si="3"/>
        <v>107.25</v>
      </c>
    </row>
    <row r="136" spans="1:5" x14ac:dyDescent="0.3">
      <c r="A136">
        <v>77</v>
      </c>
      <c r="B136" s="2">
        <v>4194.4700000000012</v>
      </c>
      <c r="C136" s="12">
        <f t="shared" si="2"/>
        <v>4452.8000000000038</v>
      </c>
      <c r="D136" s="13">
        <v>115.51</v>
      </c>
      <c r="E136" s="13">
        <f t="shared" si="3"/>
        <v>107.25000000000045</v>
      </c>
    </row>
    <row r="137" spans="1:5" x14ac:dyDescent="0.3">
      <c r="A137">
        <v>78</v>
      </c>
      <c r="B137" s="2">
        <v>4301.7200000000012</v>
      </c>
      <c r="C137" s="12">
        <f t="shared" si="2"/>
        <v>4568.310000000004</v>
      </c>
      <c r="D137" s="13">
        <v>115.51</v>
      </c>
      <c r="E137" s="13">
        <f t="shared" si="3"/>
        <v>107.25</v>
      </c>
    </row>
    <row r="138" spans="1:5" x14ac:dyDescent="0.3">
      <c r="A138">
        <v>79</v>
      </c>
      <c r="B138" s="2">
        <v>4408.9700000000012</v>
      </c>
      <c r="C138" s="12">
        <f t="shared" si="2"/>
        <v>4683.8200000000043</v>
      </c>
      <c r="D138" s="13">
        <v>115.51</v>
      </c>
      <c r="E138" s="13">
        <f t="shared" si="3"/>
        <v>107.25</v>
      </c>
    </row>
    <row r="139" spans="1:5" x14ac:dyDescent="0.3">
      <c r="A139">
        <v>80</v>
      </c>
      <c r="B139" s="2">
        <v>4516.2200000000012</v>
      </c>
      <c r="C139" s="12">
        <f t="shared" si="2"/>
        <v>4799.3300000000045</v>
      </c>
      <c r="D139" s="13">
        <v>115.51</v>
      </c>
      <c r="E139" s="13">
        <f t="shared" si="3"/>
        <v>107.25</v>
      </c>
    </row>
    <row r="140" spans="1:5" x14ac:dyDescent="0.3">
      <c r="A140">
        <v>81</v>
      </c>
      <c r="B140" s="2">
        <v>4623.4700000000012</v>
      </c>
      <c r="C140" s="12">
        <f t="shared" si="2"/>
        <v>4914.8400000000047</v>
      </c>
      <c r="D140" s="13">
        <v>115.51</v>
      </c>
      <c r="E140" s="13">
        <f t="shared" si="3"/>
        <v>107.25</v>
      </c>
    </row>
    <row r="141" spans="1:5" x14ac:dyDescent="0.3">
      <c r="A141">
        <v>82</v>
      </c>
      <c r="B141" s="2">
        <v>4730.7200000000012</v>
      </c>
      <c r="C141" s="12">
        <f t="shared" si="2"/>
        <v>5030.3500000000049</v>
      </c>
      <c r="D141" s="13">
        <v>115.51</v>
      </c>
      <c r="E141" s="13">
        <f t="shared" si="3"/>
        <v>107.25</v>
      </c>
    </row>
    <row r="142" spans="1:5" x14ac:dyDescent="0.3">
      <c r="A142">
        <v>83</v>
      </c>
      <c r="B142" s="2">
        <v>4837.9700000000012</v>
      </c>
      <c r="C142" s="12">
        <f t="shared" si="2"/>
        <v>5145.8600000000051</v>
      </c>
      <c r="D142" s="13">
        <v>115.51</v>
      </c>
      <c r="E142" s="13">
        <f t="shared" si="3"/>
        <v>107.25</v>
      </c>
    </row>
    <row r="143" spans="1:5" x14ac:dyDescent="0.3">
      <c r="A143">
        <v>84</v>
      </c>
      <c r="B143" s="2">
        <v>4945.2200000000012</v>
      </c>
      <c r="C143" s="12">
        <f t="shared" si="2"/>
        <v>5261.3700000000053</v>
      </c>
      <c r="D143" s="13">
        <v>115.51</v>
      </c>
      <c r="E143" s="13">
        <f t="shared" si="3"/>
        <v>107.25</v>
      </c>
    </row>
    <row r="144" spans="1:5" x14ac:dyDescent="0.3">
      <c r="A144">
        <v>85</v>
      </c>
      <c r="B144" s="2">
        <v>5052.4700000000012</v>
      </c>
      <c r="C144" s="12">
        <f t="shared" si="2"/>
        <v>5376.8800000000056</v>
      </c>
      <c r="D144" s="13">
        <v>115.51</v>
      </c>
      <c r="E144" s="13">
        <f t="shared" si="3"/>
        <v>107.25</v>
      </c>
    </row>
    <row r="145" spans="1:5" x14ac:dyDescent="0.3">
      <c r="A145">
        <v>86</v>
      </c>
      <c r="B145" s="2">
        <v>5159.7200000000012</v>
      </c>
      <c r="C145" s="12">
        <f t="shared" si="2"/>
        <v>5492.3900000000058</v>
      </c>
      <c r="D145" s="13">
        <v>115.51</v>
      </c>
      <c r="E145" s="13">
        <f t="shared" si="3"/>
        <v>107.25</v>
      </c>
    </row>
    <row r="146" spans="1:5" x14ac:dyDescent="0.3">
      <c r="A146">
        <v>87</v>
      </c>
      <c r="B146" s="2">
        <v>5266.9700000000012</v>
      </c>
      <c r="C146" s="12">
        <f t="shared" si="2"/>
        <v>5607.900000000006</v>
      </c>
      <c r="D146" s="13">
        <v>115.51</v>
      </c>
      <c r="E146" s="13">
        <f t="shared" si="3"/>
        <v>107.25</v>
      </c>
    </row>
    <row r="147" spans="1:5" x14ac:dyDescent="0.3">
      <c r="A147">
        <v>88</v>
      </c>
      <c r="B147" s="2">
        <v>5374.2200000000012</v>
      </c>
      <c r="C147" s="12">
        <f t="shared" si="2"/>
        <v>5723.4100000000062</v>
      </c>
      <c r="D147" s="13">
        <v>115.51</v>
      </c>
      <c r="E147" s="13">
        <f t="shared" si="3"/>
        <v>107.25</v>
      </c>
    </row>
    <row r="148" spans="1:5" x14ac:dyDescent="0.3">
      <c r="A148">
        <v>89</v>
      </c>
      <c r="B148" s="2">
        <v>5481.4700000000012</v>
      </c>
      <c r="C148" s="12">
        <f t="shared" si="2"/>
        <v>5838.9200000000064</v>
      </c>
      <c r="D148" s="13">
        <v>115.51</v>
      </c>
      <c r="E148" s="13">
        <f t="shared" si="3"/>
        <v>107.25</v>
      </c>
    </row>
    <row r="149" spans="1:5" x14ac:dyDescent="0.3">
      <c r="A149">
        <v>90</v>
      </c>
      <c r="B149" s="2">
        <v>5588.7200000000012</v>
      </c>
      <c r="C149" s="12">
        <f t="shared" si="2"/>
        <v>5954.4300000000067</v>
      </c>
      <c r="D149" s="13">
        <v>115.51</v>
      </c>
      <c r="E149" s="13">
        <f t="shared" si="3"/>
        <v>107.25</v>
      </c>
    </row>
    <row r="150" spans="1:5" x14ac:dyDescent="0.3">
      <c r="A150">
        <v>91</v>
      </c>
      <c r="B150" s="2">
        <v>5695.9700000000012</v>
      </c>
      <c r="C150" s="12">
        <f t="shared" si="2"/>
        <v>6069.9400000000069</v>
      </c>
      <c r="D150" s="13">
        <v>115.51</v>
      </c>
      <c r="E150" s="13">
        <f t="shared" si="3"/>
        <v>107.25</v>
      </c>
    </row>
    <row r="151" spans="1:5" x14ac:dyDescent="0.3">
      <c r="A151">
        <v>92</v>
      </c>
      <c r="B151" s="2">
        <v>5803.2200000000012</v>
      </c>
      <c r="C151" s="12">
        <f t="shared" si="2"/>
        <v>6185.4500000000071</v>
      </c>
      <c r="D151" s="13">
        <v>115.51</v>
      </c>
      <c r="E151" s="13">
        <f t="shared" si="3"/>
        <v>107.25</v>
      </c>
    </row>
    <row r="152" spans="1:5" x14ac:dyDescent="0.3">
      <c r="A152">
        <v>93</v>
      </c>
      <c r="B152" s="2">
        <v>5910.4700000000012</v>
      </c>
      <c r="C152" s="12">
        <f t="shared" si="2"/>
        <v>6300.9600000000073</v>
      </c>
      <c r="D152" s="13">
        <v>115.51</v>
      </c>
      <c r="E152" s="13">
        <f t="shared" si="3"/>
        <v>107.25</v>
      </c>
    </row>
    <row r="153" spans="1:5" x14ac:dyDescent="0.3">
      <c r="A153">
        <v>94</v>
      </c>
      <c r="B153" s="2">
        <v>6017.7200000000012</v>
      </c>
      <c r="C153" s="12">
        <f t="shared" si="2"/>
        <v>6416.4700000000075</v>
      </c>
      <c r="D153" s="13">
        <v>115.51</v>
      </c>
      <c r="E153" s="13">
        <f t="shared" si="3"/>
        <v>107.25</v>
      </c>
    </row>
    <row r="154" spans="1:5" x14ac:dyDescent="0.3">
      <c r="A154">
        <v>95</v>
      </c>
      <c r="B154" s="2">
        <v>6124.9700000000012</v>
      </c>
      <c r="C154" s="12">
        <f t="shared" si="2"/>
        <v>6531.9800000000077</v>
      </c>
      <c r="D154" s="13">
        <v>115.51</v>
      </c>
      <c r="E154" s="13">
        <f t="shared" si="3"/>
        <v>107.25</v>
      </c>
    </row>
    <row r="155" spans="1:5" x14ac:dyDescent="0.3">
      <c r="A155">
        <v>96</v>
      </c>
      <c r="B155" s="2">
        <v>6232.2200000000012</v>
      </c>
      <c r="C155" s="12">
        <f t="shared" si="2"/>
        <v>6647.490000000008</v>
      </c>
      <c r="D155" s="13">
        <v>115.51</v>
      </c>
      <c r="E155" s="13">
        <f t="shared" si="3"/>
        <v>107.25</v>
      </c>
    </row>
    <row r="156" spans="1:5" x14ac:dyDescent="0.3">
      <c r="A156">
        <v>97</v>
      </c>
      <c r="B156" s="2">
        <v>6339.4700000000012</v>
      </c>
      <c r="C156" s="12">
        <f t="shared" si="2"/>
        <v>6763.0000000000082</v>
      </c>
      <c r="D156" s="13">
        <v>115.51</v>
      </c>
      <c r="E156" s="13">
        <f t="shared" si="3"/>
        <v>107.25</v>
      </c>
    </row>
    <row r="157" spans="1:5" x14ac:dyDescent="0.3">
      <c r="A157">
        <v>98</v>
      </c>
      <c r="B157" s="2">
        <v>6446.7200000000012</v>
      </c>
      <c r="C157" s="12">
        <f t="shared" si="2"/>
        <v>6878.5100000000084</v>
      </c>
      <c r="D157" s="13">
        <v>115.51</v>
      </c>
      <c r="E157" s="13">
        <f t="shared" si="3"/>
        <v>107.25</v>
      </c>
    </row>
    <row r="158" spans="1:5" x14ac:dyDescent="0.3">
      <c r="A158">
        <v>99</v>
      </c>
      <c r="B158" s="2">
        <v>6553.9700000000012</v>
      </c>
      <c r="C158" s="12">
        <f t="shared" si="2"/>
        <v>6994.0200000000086</v>
      </c>
      <c r="D158" s="13">
        <v>115.51</v>
      </c>
      <c r="E158" s="13">
        <f t="shared" si="3"/>
        <v>107.25</v>
      </c>
    </row>
    <row r="159" spans="1:5" x14ac:dyDescent="0.3">
      <c r="A159">
        <v>100</v>
      </c>
      <c r="B159" s="2">
        <v>6661.2200000000012</v>
      </c>
      <c r="C159" s="12">
        <f t="shared" si="2"/>
        <v>7109.5300000000088</v>
      </c>
      <c r="D159" s="13">
        <v>115.51</v>
      </c>
      <c r="E159" s="13">
        <f t="shared" si="3"/>
        <v>107.25</v>
      </c>
    </row>
    <row r="160" spans="1:5" x14ac:dyDescent="0.3">
      <c r="A160">
        <v>101</v>
      </c>
      <c r="B160" s="2">
        <v>6768.4700000000012</v>
      </c>
      <c r="C160" s="12">
        <f t="shared" si="2"/>
        <v>7225.0400000000091</v>
      </c>
      <c r="D160" s="13">
        <v>115.51</v>
      </c>
      <c r="E160" s="13">
        <f t="shared" si="3"/>
        <v>107.25</v>
      </c>
    </row>
    <row r="161" spans="1:5" x14ac:dyDescent="0.3">
      <c r="A161">
        <v>102</v>
      </c>
      <c r="B161" s="2">
        <v>6875.7200000000012</v>
      </c>
      <c r="C161" s="12">
        <f t="shared" si="2"/>
        <v>7340.5500000000093</v>
      </c>
      <c r="D161" s="13">
        <v>115.51</v>
      </c>
      <c r="E161" s="13">
        <f t="shared" si="3"/>
        <v>107.25</v>
      </c>
    </row>
    <row r="162" spans="1:5" x14ac:dyDescent="0.3">
      <c r="A162">
        <v>103</v>
      </c>
      <c r="B162" s="2">
        <v>6982.9700000000012</v>
      </c>
      <c r="C162" s="12">
        <f t="shared" si="2"/>
        <v>7456.0600000000095</v>
      </c>
      <c r="D162" s="13">
        <v>115.51</v>
      </c>
      <c r="E162" s="13">
        <f t="shared" si="3"/>
        <v>107.25</v>
      </c>
    </row>
    <row r="163" spans="1:5" x14ac:dyDescent="0.3">
      <c r="A163">
        <v>104</v>
      </c>
      <c r="B163" s="2">
        <v>7090.2200000000012</v>
      </c>
      <c r="C163" s="12">
        <f t="shared" si="2"/>
        <v>7571.5700000000097</v>
      </c>
      <c r="D163" s="13">
        <v>115.51</v>
      </c>
      <c r="E163" s="13">
        <f t="shared" si="3"/>
        <v>107.25</v>
      </c>
    </row>
    <row r="164" spans="1:5" x14ac:dyDescent="0.3">
      <c r="A164">
        <v>105</v>
      </c>
      <c r="B164" s="2">
        <v>7197.4700000000012</v>
      </c>
      <c r="C164" s="12">
        <f t="shared" si="2"/>
        <v>7687.0800000000099</v>
      </c>
      <c r="D164" s="13">
        <v>115.51</v>
      </c>
      <c r="E164" s="13">
        <f t="shared" si="3"/>
        <v>107.25</v>
      </c>
    </row>
    <row r="165" spans="1:5" x14ac:dyDescent="0.3">
      <c r="A165">
        <v>106</v>
      </c>
      <c r="B165" s="2">
        <v>7304.7200000000012</v>
      </c>
      <c r="C165" s="12">
        <f t="shared" si="2"/>
        <v>7802.5900000000101</v>
      </c>
      <c r="D165" s="13">
        <v>115.51</v>
      </c>
      <c r="E165" s="13">
        <f t="shared" si="3"/>
        <v>107.25</v>
      </c>
    </row>
    <row r="166" spans="1:5" x14ac:dyDescent="0.3">
      <c r="A166">
        <v>107</v>
      </c>
      <c r="B166" s="2">
        <v>7411.9700000000012</v>
      </c>
      <c r="C166" s="12">
        <f t="shared" si="2"/>
        <v>7918.1000000000104</v>
      </c>
      <c r="D166" s="13">
        <v>115.51</v>
      </c>
      <c r="E166" s="13">
        <f t="shared" si="3"/>
        <v>107.25</v>
      </c>
    </row>
    <row r="167" spans="1:5" x14ac:dyDescent="0.3">
      <c r="A167">
        <v>108</v>
      </c>
      <c r="B167" s="2">
        <v>7519.2200000000012</v>
      </c>
      <c r="C167" s="12">
        <f t="shared" si="2"/>
        <v>8033.6100000000106</v>
      </c>
      <c r="D167" s="13">
        <v>115.51</v>
      </c>
      <c r="E167" s="13">
        <f t="shared" si="3"/>
        <v>107.25</v>
      </c>
    </row>
    <row r="168" spans="1:5" x14ac:dyDescent="0.3">
      <c r="A168">
        <v>109</v>
      </c>
      <c r="B168" s="2">
        <v>7626.4700000000012</v>
      </c>
      <c r="C168" s="12">
        <f t="shared" si="2"/>
        <v>8149.1200000000108</v>
      </c>
      <c r="D168" s="13">
        <v>115.51</v>
      </c>
      <c r="E168" s="13">
        <f t="shared" si="3"/>
        <v>107.25</v>
      </c>
    </row>
    <row r="169" spans="1:5" x14ac:dyDescent="0.3">
      <c r="A169">
        <v>110</v>
      </c>
      <c r="B169" s="2">
        <v>7733.7200000000012</v>
      </c>
      <c r="C169" s="12">
        <f t="shared" si="2"/>
        <v>8264.6300000000101</v>
      </c>
      <c r="D169" s="13">
        <v>115.51</v>
      </c>
      <c r="E169" s="13">
        <f t="shared" si="3"/>
        <v>107.25</v>
      </c>
    </row>
    <row r="170" spans="1:5" x14ac:dyDescent="0.3">
      <c r="A170">
        <v>111</v>
      </c>
      <c r="B170" s="2">
        <v>7840.9700000000012</v>
      </c>
      <c r="C170" s="12">
        <f t="shared" si="2"/>
        <v>8380.1400000000103</v>
      </c>
      <c r="D170" s="13">
        <v>115.51</v>
      </c>
      <c r="E170" s="13">
        <f t="shared" si="3"/>
        <v>107.25</v>
      </c>
    </row>
    <row r="171" spans="1:5" x14ac:dyDescent="0.3">
      <c r="A171">
        <v>112</v>
      </c>
      <c r="B171" s="2">
        <v>7948.2200000000012</v>
      </c>
      <c r="C171" s="12">
        <f t="shared" si="2"/>
        <v>8495.6500000000106</v>
      </c>
      <c r="D171" s="13">
        <v>115.51</v>
      </c>
      <c r="E171" s="13">
        <f t="shared" si="3"/>
        <v>107.25</v>
      </c>
    </row>
    <row r="172" spans="1:5" x14ac:dyDescent="0.3">
      <c r="A172">
        <v>113</v>
      </c>
      <c r="B172" s="2">
        <v>8055.4700000000012</v>
      </c>
      <c r="C172" s="12">
        <f t="shared" si="2"/>
        <v>8611.1600000000108</v>
      </c>
      <c r="D172" s="13">
        <v>115.51</v>
      </c>
      <c r="E172" s="13">
        <f t="shared" si="3"/>
        <v>107.25</v>
      </c>
    </row>
    <row r="173" spans="1:5" x14ac:dyDescent="0.3">
      <c r="A173">
        <v>114</v>
      </c>
      <c r="B173" s="2">
        <v>8162.7200000000012</v>
      </c>
      <c r="C173" s="12">
        <f t="shared" si="2"/>
        <v>8726.670000000011</v>
      </c>
      <c r="D173" s="13">
        <v>115.51</v>
      </c>
      <c r="E173" s="13">
        <f t="shared" si="3"/>
        <v>107.25</v>
      </c>
    </row>
    <row r="174" spans="1:5" x14ac:dyDescent="0.3">
      <c r="A174">
        <v>115</v>
      </c>
      <c r="B174" s="2">
        <v>8269.9700000000012</v>
      </c>
      <c r="C174" s="12">
        <f t="shared" si="2"/>
        <v>8842.1800000000112</v>
      </c>
      <c r="D174" s="13">
        <v>115.51</v>
      </c>
      <c r="E174" s="13">
        <f t="shared" si="3"/>
        <v>107.25</v>
      </c>
    </row>
    <row r="175" spans="1:5" x14ac:dyDescent="0.3">
      <c r="A175">
        <v>116</v>
      </c>
      <c r="B175" s="2">
        <v>8377.2200000000012</v>
      </c>
      <c r="C175" s="12">
        <f t="shared" si="2"/>
        <v>8957.6900000000114</v>
      </c>
      <c r="D175" s="13">
        <v>115.51</v>
      </c>
      <c r="E175" s="13">
        <f t="shared" si="3"/>
        <v>107.25</v>
      </c>
    </row>
    <row r="176" spans="1:5" x14ac:dyDescent="0.3">
      <c r="A176">
        <v>117</v>
      </c>
      <c r="B176" s="2">
        <v>8484.4700000000012</v>
      </c>
      <c r="C176" s="12">
        <f t="shared" si="2"/>
        <v>9073.2000000000116</v>
      </c>
      <c r="D176" s="13">
        <v>115.51</v>
      </c>
      <c r="E176" s="13">
        <f t="shared" si="3"/>
        <v>107.25</v>
      </c>
    </row>
    <row r="177" spans="1:7" x14ac:dyDescent="0.3">
      <c r="A177">
        <v>118</v>
      </c>
      <c r="B177" s="2">
        <v>8591.7200000000012</v>
      </c>
      <c r="C177" s="12">
        <f t="shared" si="2"/>
        <v>9188.7100000000119</v>
      </c>
      <c r="D177" s="13">
        <v>115.51</v>
      </c>
      <c r="E177" s="13">
        <f t="shared" si="3"/>
        <v>107.25</v>
      </c>
    </row>
    <row r="178" spans="1:7" x14ac:dyDescent="0.3">
      <c r="A178">
        <v>119</v>
      </c>
      <c r="B178" s="2">
        <v>8698.9700000000012</v>
      </c>
      <c r="C178" s="12">
        <f t="shared" si="2"/>
        <v>9304.2200000000121</v>
      </c>
      <c r="D178" s="13">
        <v>115.51</v>
      </c>
      <c r="E178" s="13">
        <f t="shared" si="3"/>
        <v>107.25</v>
      </c>
    </row>
    <row r="179" spans="1:7" x14ac:dyDescent="0.3">
      <c r="A179">
        <v>120</v>
      </c>
      <c r="B179" s="2">
        <v>8806.2200000000012</v>
      </c>
      <c r="C179" s="12">
        <f t="shared" si="2"/>
        <v>9419.7300000000123</v>
      </c>
      <c r="D179" s="13">
        <v>115.51</v>
      </c>
      <c r="E179" s="13">
        <f t="shared" si="3"/>
        <v>107.25</v>
      </c>
    </row>
    <row r="180" spans="1:7" x14ac:dyDescent="0.3">
      <c r="C180" s="12"/>
      <c r="D180" s="13"/>
    </row>
    <row r="181" spans="1:7" x14ac:dyDescent="0.3">
      <c r="A181" s="1" t="s">
        <v>95</v>
      </c>
      <c r="C181" s="12"/>
      <c r="D181" s="13"/>
    </row>
    <row r="182" spans="1:7" x14ac:dyDescent="0.3">
      <c r="A182">
        <v>0</v>
      </c>
      <c r="B182">
        <v>894.89</v>
      </c>
      <c r="C182" s="12">
        <f t="shared" si="2"/>
        <v>935.16</v>
      </c>
      <c r="D182" s="13">
        <v>935.16</v>
      </c>
    </row>
    <row r="183" spans="1:7" x14ac:dyDescent="0.3">
      <c r="A183">
        <v>551</v>
      </c>
      <c r="B183">
        <v>987.06999999999994</v>
      </c>
      <c r="C183" s="12">
        <f t="shared" si="2"/>
        <v>1031.49</v>
      </c>
      <c r="D183" s="13">
        <v>96.33</v>
      </c>
    </row>
    <row r="184" spans="1:7" s="8" customFormat="1" x14ac:dyDescent="0.3">
      <c r="A184" s="8">
        <v>601</v>
      </c>
      <c r="B184" s="8">
        <v>1171.1999999999998</v>
      </c>
      <c r="C184" s="12">
        <f>(D184)+C183</f>
        <v>1223.9100000000001</v>
      </c>
      <c r="D184" s="13">
        <v>192.42</v>
      </c>
      <c r="F184" s="8">
        <f>B184/12</f>
        <v>97.59999999999998</v>
      </c>
      <c r="G184" s="8">
        <f>C184/12</f>
        <v>101.99250000000001</v>
      </c>
    </row>
    <row r="185" spans="1:7" x14ac:dyDescent="0.3">
      <c r="A185">
        <v>701</v>
      </c>
      <c r="B185">
        <v>1355.33</v>
      </c>
      <c r="C185" s="12">
        <f t="shared" si="2"/>
        <v>1416.3300000000002</v>
      </c>
      <c r="D185" s="13">
        <v>192.42</v>
      </c>
    </row>
    <row r="186" spans="1:7" x14ac:dyDescent="0.3">
      <c r="A186">
        <v>801</v>
      </c>
      <c r="B186">
        <v>1539.46</v>
      </c>
      <c r="C186" s="12">
        <f t="shared" si="2"/>
        <v>1608.7500000000002</v>
      </c>
      <c r="D186" s="13">
        <v>192.42</v>
      </c>
    </row>
    <row r="187" spans="1:7" x14ac:dyDescent="0.3">
      <c r="A187">
        <v>901</v>
      </c>
      <c r="B187">
        <v>1723.5900000000001</v>
      </c>
      <c r="C187" s="12">
        <f t="shared" si="2"/>
        <v>1801.1700000000003</v>
      </c>
      <c r="D187" s="13">
        <v>192.42</v>
      </c>
    </row>
    <row r="188" spans="1:7" x14ac:dyDescent="0.3">
      <c r="A188">
        <v>1001</v>
      </c>
      <c r="B188">
        <v>1907.7200000000003</v>
      </c>
      <c r="C188" s="12">
        <f t="shared" si="2"/>
        <v>1993.5900000000004</v>
      </c>
      <c r="D188" s="13">
        <v>192.42</v>
      </c>
    </row>
    <row r="189" spans="1:7" x14ac:dyDescent="0.3">
      <c r="A189">
        <v>1101</v>
      </c>
      <c r="B189">
        <v>2091.8500000000004</v>
      </c>
      <c r="C189" s="12">
        <f t="shared" ref="C189:C252" si="4">(D189)+C188</f>
        <v>2186.0100000000002</v>
      </c>
      <c r="D189" s="13">
        <v>192.42</v>
      </c>
    </row>
    <row r="190" spans="1:7" x14ac:dyDescent="0.3">
      <c r="A190">
        <v>1201</v>
      </c>
      <c r="B190">
        <v>2275.9800000000005</v>
      </c>
      <c r="C190" s="12">
        <f t="shared" si="4"/>
        <v>2378.4300000000003</v>
      </c>
      <c r="D190" s="13">
        <v>192.42</v>
      </c>
    </row>
    <row r="191" spans="1:7" x14ac:dyDescent="0.3">
      <c r="A191">
        <v>1301</v>
      </c>
      <c r="B191">
        <v>2460.1100000000006</v>
      </c>
      <c r="C191" s="12">
        <f t="shared" si="4"/>
        <v>2570.8500000000004</v>
      </c>
      <c r="D191" s="13">
        <v>192.42</v>
      </c>
    </row>
    <row r="192" spans="1:7" x14ac:dyDescent="0.3">
      <c r="A192">
        <v>1401</v>
      </c>
      <c r="B192">
        <v>2644.2400000000007</v>
      </c>
      <c r="C192" s="12">
        <f t="shared" si="4"/>
        <v>2763.2700000000004</v>
      </c>
      <c r="D192" s="13">
        <v>192.42</v>
      </c>
    </row>
    <row r="193" spans="1:6" s="8" customFormat="1" x14ac:dyDescent="0.3">
      <c r="A193" s="8">
        <v>1501</v>
      </c>
      <c r="B193" s="8">
        <v>2868.1700000000005</v>
      </c>
      <c r="C193" s="12">
        <f>(D193)+C192</f>
        <v>2888.9900000000002</v>
      </c>
      <c r="D193" s="13">
        <f>2888.99-2763.27</f>
        <v>125.7199999999998</v>
      </c>
    </row>
    <row r="194" spans="1:6" x14ac:dyDescent="0.3">
      <c r="A194">
        <v>1601</v>
      </c>
      <c r="B194">
        <v>2971.7600000000007</v>
      </c>
      <c r="C194" s="12">
        <f t="shared" si="4"/>
        <v>2997.2400000000002</v>
      </c>
      <c r="D194" s="13">
        <v>108.25</v>
      </c>
    </row>
    <row r="195" spans="1:6" x14ac:dyDescent="0.3">
      <c r="A195">
        <v>1701</v>
      </c>
      <c r="B195">
        <v>3075.3500000000008</v>
      </c>
      <c r="C195" s="12">
        <f t="shared" si="4"/>
        <v>3105.4900000000002</v>
      </c>
      <c r="D195" s="13">
        <v>108.25</v>
      </c>
    </row>
    <row r="196" spans="1:6" x14ac:dyDescent="0.3">
      <c r="A196">
        <v>1801</v>
      </c>
      <c r="B196">
        <v>3178.940000000001</v>
      </c>
      <c r="C196" s="12">
        <f t="shared" si="4"/>
        <v>3213.7400000000002</v>
      </c>
      <c r="D196" s="13">
        <v>108.25</v>
      </c>
    </row>
    <row r="197" spans="1:6" x14ac:dyDescent="0.3">
      <c r="A197">
        <v>1901</v>
      </c>
      <c r="B197">
        <v>3282.5300000000011</v>
      </c>
      <c r="C197" s="12">
        <f t="shared" si="4"/>
        <v>3321.9900000000002</v>
      </c>
      <c r="D197" s="13">
        <v>108.25</v>
      </c>
    </row>
    <row r="198" spans="1:6" x14ac:dyDescent="0.3">
      <c r="A198">
        <v>2001</v>
      </c>
      <c r="B198">
        <v>3386.1200000000013</v>
      </c>
      <c r="C198" s="12">
        <f t="shared" si="4"/>
        <v>3430.2400000000002</v>
      </c>
      <c r="D198" s="13">
        <v>108.25</v>
      </c>
    </row>
    <row r="199" spans="1:6" x14ac:dyDescent="0.3">
      <c r="A199">
        <v>2101</v>
      </c>
      <c r="B199">
        <v>3489.7100000000014</v>
      </c>
      <c r="C199" s="12">
        <f t="shared" si="4"/>
        <v>3538.4900000000002</v>
      </c>
      <c r="D199" s="13">
        <v>108.25</v>
      </c>
    </row>
    <row r="200" spans="1:6" x14ac:dyDescent="0.3">
      <c r="A200">
        <v>2201</v>
      </c>
      <c r="B200">
        <v>3593.3000000000015</v>
      </c>
      <c r="C200" s="12">
        <f t="shared" si="4"/>
        <v>3646.7400000000002</v>
      </c>
      <c r="D200" s="13">
        <v>108.25</v>
      </c>
    </row>
    <row r="201" spans="1:6" x14ac:dyDescent="0.3">
      <c r="A201">
        <v>2301</v>
      </c>
      <c r="B201">
        <v>3696.8900000000017</v>
      </c>
      <c r="C201" s="12">
        <f t="shared" si="4"/>
        <v>3754.9900000000002</v>
      </c>
      <c r="D201" s="13">
        <v>108.25</v>
      </c>
    </row>
    <row r="202" spans="1:6" x14ac:dyDescent="0.3">
      <c r="A202">
        <v>2401</v>
      </c>
      <c r="B202">
        <v>3800.4800000000018</v>
      </c>
      <c r="C202" s="12">
        <f t="shared" si="4"/>
        <v>3863.2400000000002</v>
      </c>
      <c r="D202" s="13">
        <v>108.25</v>
      </c>
    </row>
    <row r="203" spans="1:6" x14ac:dyDescent="0.3">
      <c r="A203">
        <v>2501</v>
      </c>
      <c r="B203">
        <v>3904.070000000002</v>
      </c>
      <c r="C203" s="12">
        <f t="shared" si="4"/>
        <v>3971.4900000000002</v>
      </c>
      <c r="D203" s="13">
        <v>108.25</v>
      </c>
    </row>
    <row r="204" spans="1:6" x14ac:dyDescent="0.3">
      <c r="A204">
        <v>2601</v>
      </c>
      <c r="B204">
        <v>4007.6600000000021</v>
      </c>
      <c r="C204" s="12">
        <f t="shared" si="4"/>
        <v>4079.7400000000002</v>
      </c>
      <c r="D204" s="13">
        <v>108.25</v>
      </c>
    </row>
    <row r="205" spans="1:6" x14ac:dyDescent="0.3">
      <c r="A205">
        <v>2701</v>
      </c>
      <c r="B205">
        <v>4111.2500000000018</v>
      </c>
      <c r="C205" s="12">
        <f t="shared" si="4"/>
        <v>4187.99</v>
      </c>
      <c r="D205" s="13">
        <v>108.25</v>
      </c>
    </row>
    <row r="206" spans="1:6" x14ac:dyDescent="0.3">
      <c r="A206">
        <v>2801</v>
      </c>
      <c r="B206">
        <v>4214.840000000002</v>
      </c>
      <c r="C206" s="12">
        <f t="shared" si="4"/>
        <v>4296.24</v>
      </c>
      <c r="D206" s="13">
        <v>108.25</v>
      </c>
    </row>
    <row r="207" spans="1:6" x14ac:dyDescent="0.3">
      <c r="A207">
        <v>2901</v>
      </c>
      <c r="B207">
        <v>4318.4300000000021</v>
      </c>
      <c r="C207" s="12">
        <f>(D207)+C206</f>
        <v>4404.49</v>
      </c>
      <c r="D207" s="13">
        <v>108.25</v>
      </c>
    </row>
    <row r="208" spans="1:6" s="8" customFormat="1" x14ac:dyDescent="0.3">
      <c r="A208" s="8">
        <v>3001</v>
      </c>
      <c r="B208" s="8">
        <v>4304.6500000000024</v>
      </c>
      <c r="C208" s="12">
        <f t="shared" si="4"/>
        <v>4438.25</v>
      </c>
      <c r="D208" s="13">
        <f>4438.25-4404.49</f>
        <v>33.760000000000218</v>
      </c>
      <c r="E208" s="8">
        <f>4247.13+57.52</f>
        <v>4304.6500000000005</v>
      </c>
      <c r="F208" s="56">
        <f>C208-E208</f>
        <v>133.59999999999945</v>
      </c>
    </row>
    <row r="209" spans="1:4" x14ac:dyDescent="0.3">
      <c r="A209">
        <v>3101</v>
      </c>
      <c r="B209">
        <v>4362.1700000000028</v>
      </c>
      <c r="C209" s="12">
        <f t="shared" si="4"/>
        <v>4498.3599999999997</v>
      </c>
      <c r="D209" s="13">
        <v>60.11</v>
      </c>
    </row>
    <row r="210" spans="1:4" x14ac:dyDescent="0.3">
      <c r="A210">
        <v>3201</v>
      </c>
      <c r="B210">
        <v>4419.6900000000032</v>
      </c>
      <c r="C210" s="12">
        <f t="shared" si="4"/>
        <v>4558.4699999999993</v>
      </c>
      <c r="D210" s="13">
        <v>60.11</v>
      </c>
    </row>
    <row r="211" spans="1:4" x14ac:dyDescent="0.3">
      <c r="A211">
        <v>3301</v>
      </c>
      <c r="B211">
        <v>4477.2100000000037</v>
      </c>
      <c r="C211" s="12">
        <f t="shared" si="4"/>
        <v>4618.579999999999</v>
      </c>
      <c r="D211" s="13">
        <v>60.11</v>
      </c>
    </row>
    <row r="212" spans="1:4" x14ac:dyDescent="0.3">
      <c r="A212">
        <v>3401</v>
      </c>
      <c r="B212">
        <v>4534.7300000000041</v>
      </c>
      <c r="C212" s="12">
        <f t="shared" si="4"/>
        <v>4678.6899999999987</v>
      </c>
      <c r="D212" s="13">
        <v>60.11</v>
      </c>
    </row>
    <row r="213" spans="1:4" x14ac:dyDescent="0.3">
      <c r="A213">
        <v>3501</v>
      </c>
      <c r="B213">
        <v>4592.2500000000045</v>
      </c>
      <c r="C213" s="12">
        <f t="shared" si="4"/>
        <v>4738.7999999999984</v>
      </c>
      <c r="D213" s="13">
        <v>60.11</v>
      </c>
    </row>
    <row r="214" spans="1:4" x14ac:dyDescent="0.3">
      <c r="A214">
        <v>3601</v>
      </c>
      <c r="B214">
        <v>4649.770000000005</v>
      </c>
      <c r="C214" s="12">
        <f t="shared" si="4"/>
        <v>4798.909999999998</v>
      </c>
      <c r="D214" s="13">
        <v>60.11</v>
      </c>
    </row>
    <row r="215" spans="1:4" x14ac:dyDescent="0.3">
      <c r="A215">
        <v>3701</v>
      </c>
      <c r="B215">
        <v>4707.2900000000054</v>
      </c>
      <c r="C215" s="12">
        <f t="shared" si="4"/>
        <v>4859.0199999999977</v>
      </c>
      <c r="D215" s="13">
        <v>60.11</v>
      </c>
    </row>
    <row r="216" spans="1:4" x14ac:dyDescent="0.3">
      <c r="A216">
        <v>3801</v>
      </c>
      <c r="B216">
        <v>4764.8100000000059</v>
      </c>
      <c r="C216" s="12">
        <f t="shared" si="4"/>
        <v>4919.1299999999974</v>
      </c>
      <c r="D216" s="13">
        <v>60.11</v>
      </c>
    </row>
    <row r="217" spans="1:4" x14ac:dyDescent="0.3">
      <c r="A217">
        <v>3901</v>
      </c>
      <c r="B217">
        <v>4822.3300000000063</v>
      </c>
      <c r="C217" s="12">
        <f t="shared" si="4"/>
        <v>4979.2399999999971</v>
      </c>
      <c r="D217" s="13">
        <v>60.11</v>
      </c>
    </row>
    <row r="218" spans="1:4" x14ac:dyDescent="0.3">
      <c r="A218">
        <v>4001</v>
      </c>
      <c r="B218">
        <v>4879.8500000000067</v>
      </c>
      <c r="C218" s="12">
        <f t="shared" si="4"/>
        <v>5039.3499999999967</v>
      </c>
      <c r="D218" s="13">
        <v>60.11</v>
      </c>
    </row>
    <row r="219" spans="1:4" x14ac:dyDescent="0.3">
      <c r="A219">
        <v>4101</v>
      </c>
      <c r="B219">
        <v>4937.3700000000072</v>
      </c>
      <c r="C219" s="12">
        <f t="shared" si="4"/>
        <v>5099.4599999999964</v>
      </c>
      <c r="D219" s="13">
        <v>60.11</v>
      </c>
    </row>
    <row r="220" spans="1:4" x14ac:dyDescent="0.3">
      <c r="A220">
        <v>4201</v>
      </c>
      <c r="B220">
        <v>4994.8900000000076</v>
      </c>
      <c r="C220" s="12">
        <f t="shared" si="4"/>
        <v>5159.5699999999961</v>
      </c>
      <c r="D220" s="13">
        <v>60.11</v>
      </c>
    </row>
    <row r="221" spans="1:4" x14ac:dyDescent="0.3">
      <c r="A221">
        <v>4301</v>
      </c>
      <c r="B221">
        <v>5052.410000000008</v>
      </c>
      <c r="C221" s="12">
        <f t="shared" si="4"/>
        <v>5219.6799999999957</v>
      </c>
      <c r="D221" s="13">
        <v>60.11</v>
      </c>
    </row>
    <row r="222" spans="1:4" x14ac:dyDescent="0.3">
      <c r="A222">
        <v>4401</v>
      </c>
      <c r="B222">
        <v>5109.9300000000085</v>
      </c>
      <c r="C222" s="12">
        <f t="shared" si="4"/>
        <v>5279.7899999999954</v>
      </c>
      <c r="D222" s="13">
        <v>60.11</v>
      </c>
    </row>
    <row r="223" spans="1:4" x14ac:dyDescent="0.3">
      <c r="A223">
        <v>4501</v>
      </c>
      <c r="B223">
        <v>5167.4500000000089</v>
      </c>
      <c r="C223" s="12">
        <f t="shared" si="4"/>
        <v>5339.8999999999951</v>
      </c>
      <c r="D223" s="13">
        <v>60.11</v>
      </c>
    </row>
    <row r="224" spans="1:4" x14ac:dyDescent="0.3">
      <c r="A224">
        <v>4601</v>
      </c>
      <c r="B224">
        <v>5224.9700000000093</v>
      </c>
      <c r="C224" s="12">
        <f t="shared" si="4"/>
        <v>5400.0099999999948</v>
      </c>
      <c r="D224" s="13">
        <v>60.11</v>
      </c>
    </row>
    <row r="225" spans="1:4" x14ac:dyDescent="0.3">
      <c r="A225">
        <v>4701</v>
      </c>
      <c r="B225">
        <v>5282.4900000000098</v>
      </c>
      <c r="C225" s="12">
        <f t="shared" si="4"/>
        <v>5460.1199999999944</v>
      </c>
      <c r="D225" s="13">
        <v>60.11</v>
      </c>
    </row>
    <row r="226" spans="1:4" x14ac:dyDescent="0.3">
      <c r="A226">
        <v>4801</v>
      </c>
      <c r="B226">
        <v>5340.0100000000102</v>
      </c>
      <c r="C226" s="12">
        <f t="shared" si="4"/>
        <v>5520.2299999999941</v>
      </c>
      <c r="D226" s="13">
        <v>60.11</v>
      </c>
    </row>
    <row r="227" spans="1:4" x14ac:dyDescent="0.3">
      <c r="A227">
        <v>4901</v>
      </c>
      <c r="B227">
        <v>5397.5300000000107</v>
      </c>
      <c r="C227" s="12">
        <f t="shared" si="4"/>
        <v>5580.3399999999938</v>
      </c>
      <c r="D227" s="13">
        <v>60.11</v>
      </c>
    </row>
    <row r="228" spans="1:4" x14ac:dyDescent="0.3">
      <c r="A228">
        <v>5001</v>
      </c>
      <c r="B228">
        <v>5455.0500000000111</v>
      </c>
      <c r="C228" s="12">
        <f t="shared" si="4"/>
        <v>5640.4499999999935</v>
      </c>
      <c r="D228" s="13">
        <v>60.11</v>
      </c>
    </row>
    <row r="229" spans="1:4" x14ac:dyDescent="0.3">
      <c r="A229">
        <v>5101</v>
      </c>
      <c r="B229">
        <v>5512.5700000000115</v>
      </c>
      <c r="C229" s="12">
        <f t="shared" si="4"/>
        <v>5700.5599999999931</v>
      </c>
      <c r="D229" s="13">
        <v>60.11</v>
      </c>
    </row>
    <row r="230" spans="1:4" x14ac:dyDescent="0.3">
      <c r="A230">
        <v>5201</v>
      </c>
      <c r="B230">
        <v>5570.090000000012</v>
      </c>
      <c r="C230" s="12">
        <f t="shared" si="4"/>
        <v>5760.6699999999928</v>
      </c>
      <c r="D230" s="13">
        <v>60.11</v>
      </c>
    </row>
    <row r="231" spans="1:4" x14ac:dyDescent="0.3">
      <c r="A231">
        <v>5301</v>
      </c>
      <c r="B231">
        <v>5627.6100000000124</v>
      </c>
      <c r="C231" s="12">
        <f t="shared" si="4"/>
        <v>5820.7799999999925</v>
      </c>
      <c r="D231" s="13">
        <v>60.11</v>
      </c>
    </row>
    <row r="232" spans="1:4" x14ac:dyDescent="0.3">
      <c r="A232">
        <v>5401</v>
      </c>
      <c r="B232">
        <v>5685.1300000000128</v>
      </c>
      <c r="C232" s="12">
        <f t="shared" si="4"/>
        <v>5880.8899999999921</v>
      </c>
      <c r="D232" s="13">
        <v>60.11</v>
      </c>
    </row>
    <row r="233" spans="1:4" x14ac:dyDescent="0.3">
      <c r="A233">
        <v>5501</v>
      </c>
      <c r="B233">
        <v>5742.6500000000133</v>
      </c>
      <c r="C233" s="12">
        <f t="shared" si="4"/>
        <v>5940.9999999999918</v>
      </c>
      <c r="D233" s="13">
        <v>60.11</v>
      </c>
    </row>
    <row r="234" spans="1:4" x14ac:dyDescent="0.3">
      <c r="A234">
        <v>5601</v>
      </c>
      <c r="B234">
        <v>5800.1700000000137</v>
      </c>
      <c r="C234" s="12">
        <f t="shared" si="4"/>
        <v>6001.1099999999915</v>
      </c>
      <c r="D234" s="13">
        <v>60.11</v>
      </c>
    </row>
    <row r="235" spans="1:4" x14ac:dyDescent="0.3">
      <c r="A235">
        <v>5701</v>
      </c>
      <c r="B235">
        <v>5857.6900000000142</v>
      </c>
      <c r="C235" s="12">
        <f t="shared" si="4"/>
        <v>6061.2199999999912</v>
      </c>
      <c r="D235" s="13">
        <v>60.11</v>
      </c>
    </row>
    <row r="236" spans="1:4" x14ac:dyDescent="0.3">
      <c r="A236">
        <v>5801</v>
      </c>
      <c r="B236">
        <v>5915.2100000000146</v>
      </c>
      <c r="C236" s="12">
        <f t="shared" si="4"/>
        <v>6121.3299999999908</v>
      </c>
      <c r="D236" s="13">
        <v>60.11</v>
      </c>
    </row>
    <row r="237" spans="1:4" x14ac:dyDescent="0.3">
      <c r="A237">
        <v>5901</v>
      </c>
      <c r="B237">
        <v>5972.730000000015</v>
      </c>
      <c r="C237" s="12">
        <f t="shared" si="4"/>
        <v>6181.4399999999905</v>
      </c>
      <c r="D237" s="13">
        <v>60.11</v>
      </c>
    </row>
    <row r="238" spans="1:4" x14ac:dyDescent="0.3">
      <c r="A238">
        <v>6001</v>
      </c>
      <c r="B238">
        <v>6030.2500000000155</v>
      </c>
      <c r="C238" s="12">
        <f t="shared" si="4"/>
        <v>6241.5499999999902</v>
      </c>
      <c r="D238" s="13">
        <v>60.11</v>
      </c>
    </row>
    <row r="239" spans="1:4" x14ac:dyDescent="0.3">
      <c r="A239">
        <v>6101</v>
      </c>
      <c r="B239">
        <v>6087.7700000000159</v>
      </c>
      <c r="C239" s="12">
        <f t="shared" si="4"/>
        <v>6301.6599999999899</v>
      </c>
      <c r="D239" s="13">
        <v>60.11</v>
      </c>
    </row>
    <row r="240" spans="1:4" x14ac:dyDescent="0.3">
      <c r="A240">
        <v>6201</v>
      </c>
      <c r="B240">
        <v>6145.2900000000163</v>
      </c>
      <c r="C240" s="12">
        <f t="shared" si="4"/>
        <v>6361.7699999999895</v>
      </c>
      <c r="D240" s="13">
        <v>60.11</v>
      </c>
    </row>
    <row r="241" spans="1:4" x14ac:dyDescent="0.3">
      <c r="A241">
        <v>6301</v>
      </c>
      <c r="B241">
        <v>6202.8100000000168</v>
      </c>
      <c r="C241" s="12">
        <f t="shared" si="4"/>
        <v>6421.8799999999892</v>
      </c>
      <c r="D241" s="13">
        <v>60.11</v>
      </c>
    </row>
    <row r="242" spans="1:4" x14ac:dyDescent="0.3">
      <c r="A242">
        <v>6401</v>
      </c>
      <c r="B242">
        <v>6260.3300000000172</v>
      </c>
      <c r="C242" s="12">
        <f t="shared" si="4"/>
        <v>6481.9899999999889</v>
      </c>
      <c r="D242" s="13">
        <v>60.11</v>
      </c>
    </row>
    <row r="243" spans="1:4" x14ac:dyDescent="0.3">
      <c r="A243">
        <v>6501</v>
      </c>
      <c r="B243">
        <v>6317.8500000000176</v>
      </c>
      <c r="C243" s="12">
        <f t="shared" si="4"/>
        <v>6542.0999999999885</v>
      </c>
      <c r="D243" s="13">
        <v>60.11</v>
      </c>
    </row>
    <row r="244" spans="1:4" x14ac:dyDescent="0.3">
      <c r="A244">
        <v>6601</v>
      </c>
      <c r="B244">
        <v>6375.3700000000181</v>
      </c>
      <c r="C244" s="12">
        <f t="shared" si="4"/>
        <v>6602.2099999999882</v>
      </c>
      <c r="D244" s="13">
        <v>60.11</v>
      </c>
    </row>
    <row r="245" spans="1:4" x14ac:dyDescent="0.3">
      <c r="A245">
        <v>6701</v>
      </c>
      <c r="B245">
        <v>6432.8900000000185</v>
      </c>
      <c r="C245" s="12">
        <f t="shared" si="4"/>
        <v>6662.3199999999879</v>
      </c>
      <c r="D245" s="13">
        <v>60.11</v>
      </c>
    </row>
    <row r="246" spans="1:4" x14ac:dyDescent="0.3">
      <c r="A246">
        <v>6801</v>
      </c>
      <c r="B246">
        <v>6490.410000000019</v>
      </c>
      <c r="C246" s="12">
        <f t="shared" si="4"/>
        <v>6722.4299999999876</v>
      </c>
      <c r="D246" s="13">
        <v>60.11</v>
      </c>
    </row>
    <row r="247" spans="1:4" x14ac:dyDescent="0.3">
      <c r="A247">
        <v>6901</v>
      </c>
      <c r="B247">
        <v>6547.9300000000194</v>
      </c>
      <c r="C247" s="12">
        <f t="shared" si="4"/>
        <v>6782.5399999999872</v>
      </c>
      <c r="D247" s="13">
        <v>60.11</v>
      </c>
    </row>
    <row r="248" spans="1:4" x14ac:dyDescent="0.3">
      <c r="A248">
        <v>7001</v>
      </c>
      <c r="B248">
        <v>6605.4500000000198</v>
      </c>
      <c r="C248" s="12">
        <f t="shared" si="4"/>
        <v>6842.6499999999869</v>
      </c>
      <c r="D248" s="13">
        <v>60.11</v>
      </c>
    </row>
    <row r="249" spans="1:4" x14ac:dyDescent="0.3">
      <c r="A249">
        <v>7101</v>
      </c>
      <c r="B249">
        <v>6662.9700000000203</v>
      </c>
      <c r="C249" s="12">
        <f t="shared" si="4"/>
        <v>6902.7599999999866</v>
      </c>
      <c r="D249" s="13">
        <v>60.11</v>
      </c>
    </row>
    <row r="250" spans="1:4" x14ac:dyDescent="0.3">
      <c r="A250">
        <v>7201</v>
      </c>
      <c r="B250">
        <v>6720.4900000000207</v>
      </c>
      <c r="C250" s="12">
        <f t="shared" si="4"/>
        <v>6962.8699999999862</v>
      </c>
      <c r="D250" s="13">
        <v>60.11</v>
      </c>
    </row>
    <row r="251" spans="1:4" x14ac:dyDescent="0.3">
      <c r="A251">
        <v>7301</v>
      </c>
      <c r="B251">
        <v>6778.0100000000211</v>
      </c>
      <c r="C251" s="12">
        <f t="shared" si="4"/>
        <v>7022.9799999999859</v>
      </c>
      <c r="D251" s="13">
        <v>60.11</v>
      </c>
    </row>
    <row r="252" spans="1:4" x14ac:dyDescent="0.3">
      <c r="A252">
        <v>7401</v>
      </c>
      <c r="B252">
        <v>6835.5300000000216</v>
      </c>
      <c r="C252" s="12">
        <f t="shared" si="4"/>
        <v>7083.0899999999856</v>
      </c>
      <c r="D252" s="13">
        <v>60.11</v>
      </c>
    </row>
    <row r="253" spans="1:4" x14ac:dyDescent="0.3">
      <c r="A253">
        <v>7501</v>
      </c>
      <c r="B253">
        <v>6893.050000000022</v>
      </c>
      <c r="C253" s="12">
        <f t="shared" ref="C253:C316" si="5">(D253)+C252</f>
        <v>7143.1999999999853</v>
      </c>
      <c r="D253" s="13">
        <v>60.11</v>
      </c>
    </row>
    <row r="254" spans="1:4" x14ac:dyDescent="0.3">
      <c r="A254">
        <v>7601</v>
      </c>
      <c r="B254">
        <v>6950.5700000000224</v>
      </c>
      <c r="C254" s="12">
        <f t="shared" si="5"/>
        <v>7203.3099999999849</v>
      </c>
      <c r="D254" s="13">
        <v>60.11</v>
      </c>
    </row>
    <row r="255" spans="1:4" x14ac:dyDescent="0.3">
      <c r="A255">
        <v>7701</v>
      </c>
      <c r="B255">
        <v>7008.0900000000229</v>
      </c>
      <c r="C255" s="12">
        <f t="shared" si="5"/>
        <v>7263.4199999999846</v>
      </c>
      <c r="D255" s="13">
        <v>60.11</v>
      </c>
    </row>
    <row r="256" spans="1:4" x14ac:dyDescent="0.3">
      <c r="A256">
        <v>7801</v>
      </c>
      <c r="B256">
        <v>7065.6100000000233</v>
      </c>
      <c r="C256" s="12">
        <f t="shared" si="5"/>
        <v>7323.5299999999843</v>
      </c>
      <c r="D256" s="13">
        <v>60.11</v>
      </c>
    </row>
    <row r="257" spans="1:4" x14ac:dyDescent="0.3">
      <c r="A257">
        <v>7901</v>
      </c>
      <c r="B257">
        <v>7123.1300000000238</v>
      </c>
      <c r="C257" s="12">
        <f t="shared" si="5"/>
        <v>7383.639999999984</v>
      </c>
      <c r="D257" s="13">
        <v>60.11</v>
      </c>
    </row>
    <row r="258" spans="1:4" x14ac:dyDescent="0.3">
      <c r="A258">
        <v>8001</v>
      </c>
      <c r="B258">
        <v>7180.6500000000242</v>
      </c>
      <c r="C258" s="12">
        <f t="shared" si="5"/>
        <v>7443.7499999999836</v>
      </c>
      <c r="D258" s="13">
        <v>60.11</v>
      </c>
    </row>
    <row r="259" spans="1:4" x14ac:dyDescent="0.3">
      <c r="A259">
        <v>8101</v>
      </c>
      <c r="B259">
        <v>7238.1700000000246</v>
      </c>
      <c r="C259" s="12">
        <f t="shared" si="5"/>
        <v>7503.8599999999833</v>
      </c>
      <c r="D259" s="13">
        <v>60.11</v>
      </c>
    </row>
    <row r="260" spans="1:4" x14ac:dyDescent="0.3">
      <c r="A260">
        <v>8201</v>
      </c>
      <c r="B260">
        <v>7295.6900000000251</v>
      </c>
      <c r="C260" s="12">
        <f t="shared" si="5"/>
        <v>7563.969999999983</v>
      </c>
      <c r="D260" s="13">
        <v>60.11</v>
      </c>
    </row>
    <row r="261" spans="1:4" x14ac:dyDescent="0.3">
      <c r="A261">
        <v>8301</v>
      </c>
      <c r="B261">
        <v>7353.2100000000255</v>
      </c>
      <c r="C261" s="12">
        <f t="shared" si="5"/>
        <v>7624.0799999999826</v>
      </c>
      <c r="D261" s="13">
        <v>60.11</v>
      </c>
    </row>
    <row r="262" spans="1:4" x14ac:dyDescent="0.3">
      <c r="A262">
        <v>8401</v>
      </c>
      <c r="B262">
        <v>7410.7300000000259</v>
      </c>
      <c r="C262" s="12">
        <f t="shared" si="5"/>
        <v>7684.1899999999823</v>
      </c>
      <c r="D262" s="13">
        <v>60.11</v>
      </c>
    </row>
    <row r="263" spans="1:4" x14ac:dyDescent="0.3">
      <c r="A263">
        <v>8501</v>
      </c>
      <c r="B263">
        <v>7468.2500000000264</v>
      </c>
      <c r="C263" s="12">
        <f t="shared" si="5"/>
        <v>7744.299999999982</v>
      </c>
      <c r="D263" s="13">
        <v>60.11</v>
      </c>
    </row>
    <row r="264" spans="1:4" x14ac:dyDescent="0.3">
      <c r="A264">
        <v>8601</v>
      </c>
      <c r="B264">
        <v>7525.7700000000268</v>
      </c>
      <c r="C264" s="12">
        <f t="shared" si="5"/>
        <v>7804.4099999999817</v>
      </c>
      <c r="D264" s="13">
        <v>60.11</v>
      </c>
    </row>
    <row r="265" spans="1:4" x14ac:dyDescent="0.3">
      <c r="A265">
        <v>8701</v>
      </c>
      <c r="B265">
        <v>7583.2900000000272</v>
      </c>
      <c r="C265" s="12">
        <f t="shared" si="5"/>
        <v>7864.5199999999813</v>
      </c>
      <c r="D265" s="13">
        <v>60.11</v>
      </c>
    </row>
    <row r="266" spans="1:4" x14ac:dyDescent="0.3">
      <c r="A266">
        <v>8801</v>
      </c>
      <c r="B266">
        <v>7640.8100000000277</v>
      </c>
      <c r="C266" s="12">
        <f t="shared" si="5"/>
        <v>7924.629999999981</v>
      </c>
      <c r="D266" s="13">
        <v>60.11</v>
      </c>
    </row>
    <row r="267" spans="1:4" x14ac:dyDescent="0.3">
      <c r="A267">
        <v>8901</v>
      </c>
      <c r="B267">
        <v>7698.3300000000281</v>
      </c>
      <c r="C267" s="12">
        <f t="shared" si="5"/>
        <v>7984.7399999999807</v>
      </c>
      <c r="D267" s="13">
        <v>60.11</v>
      </c>
    </row>
    <row r="268" spans="1:4" x14ac:dyDescent="0.3">
      <c r="A268">
        <v>9001</v>
      </c>
      <c r="B268">
        <v>7755.8500000000286</v>
      </c>
      <c r="C268" s="12">
        <f t="shared" si="5"/>
        <v>8044.8499999999804</v>
      </c>
      <c r="D268" s="13">
        <v>60.11</v>
      </c>
    </row>
    <row r="269" spans="1:4" x14ac:dyDescent="0.3">
      <c r="A269">
        <v>9101</v>
      </c>
      <c r="B269">
        <v>7813.370000000029</v>
      </c>
      <c r="C269" s="12">
        <f t="shared" si="5"/>
        <v>8104.95999999998</v>
      </c>
      <c r="D269" s="13">
        <v>60.11</v>
      </c>
    </row>
    <row r="270" spans="1:4" x14ac:dyDescent="0.3">
      <c r="A270">
        <v>9201</v>
      </c>
      <c r="B270">
        <v>7870.8900000000294</v>
      </c>
      <c r="C270" s="12">
        <f t="shared" si="5"/>
        <v>8165.0699999999797</v>
      </c>
      <c r="D270" s="13">
        <v>60.11</v>
      </c>
    </row>
    <row r="271" spans="1:4" x14ac:dyDescent="0.3">
      <c r="A271">
        <v>9301</v>
      </c>
      <c r="B271">
        <v>7928.4100000000299</v>
      </c>
      <c r="C271" s="12">
        <f t="shared" si="5"/>
        <v>8225.1799999999803</v>
      </c>
      <c r="D271" s="13">
        <v>60.11</v>
      </c>
    </row>
    <row r="272" spans="1:4" x14ac:dyDescent="0.3">
      <c r="A272">
        <v>9401</v>
      </c>
      <c r="B272">
        <v>7985.9300000000303</v>
      </c>
      <c r="C272" s="12">
        <f t="shared" si="5"/>
        <v>8285.2899999999809</v>
      </c>
      <c r="D272" s="13">
        <v>60.11</v>
      </c>
    </row>
    <row r="273" spans="1:5" x14ac:dyDescent="0.3">
      <c r="A273">
        <v>9501</v>
      </c>
      <c r="B273">
        <v>8043.4500000000307</v>
      </c>
      <c r="C273" s="12">
        <f t="shared" si="5"/>
        <v>8345.3999999999814</v>
      </c>
      <c r="D273" s="13">
        <v>60.11</v>
      </c>
    </row>
    <row r="274" spans="1:5" x14ac:dyDescent="0.3">
      <c r="A274">
        <v>9601</v>
      </c>
      <c r="B274">
        <v>8100.9700000000312</v>
      </c>
      <c r="C274" s="12">
        <f t="shared" si="5"/>
        <v>8405.509999999982</v>
      </c>
      <c r="D274" s="13">
        <v>60.11</v>
      </c>
    </row>
    <row r="275" spans="1:5" x14ac:dyDescent="0.3">
      <c r="A275">
        <v>9701</v>
      </c>
      <c r="B275">
        <v>8158.4900000000316</v>
      </c>
      <c r="C275" s="12">
        <f t="shared" si="5"/>
        <v>8465.6199999999826</v>
      </c>
      <c r="D275" s="13">
        <v>60.11</v>
      </c>
    </row>
    <row r="276" spans="1:5" x14ac:dyDescent="0.3">
      <c r="A276">
        <v>9801</v>
      </c>
      <c r="B276">
        <v>8216.0100000000311</v>
      </c>
      <c r="C276" s="12">
        <f t="shared" si="5"/>
        <v>8525.7299999999832</v>
      </c>
      <c r="D276" s="13">
        <v>60.11</v>
      </c>
    </row>
    <row r="277" spans="1:5" x14ac:dyDescent="0.3">
      <c r="A277">
        <v>9901</v>
      </c>
      <c r="B277">
        <v>8273.5300000000316</v>
      </c>
      <c r="C277" s="12">
        <f t="shared" si="5"/>
        <v>8585.8399999999838</v>
      </c>
      <c r="D277" s="13">
        <v>60.11</v>
      </c>
    </row>
    <row r="278" spans="1:5" s="8" customFormat="1" x14ac:dyDescent="0.3">
      <c r="A278" s="8">
        <v>10001</v>
      </c>
      <c r="B278" s="8">
        <v>8381.41</v>
      </c>
      <c r="C278" s="12">
        <f t="shared" si="5"/>
        <v>8710.7999999999829</v>
      </c>
      <c r="D278" s="13">
        <f>8710.8-8585.84</f>
        <v>124.95999999999913</v>
      </c>
      <c r="E278" s="56"/>
    </row>
    <row r="279" spans="1:5" x14ac:dyDescent="0.3">
      <c r="A279">
        <v>10101</v>
      </c>
      <c r="B279">
        <v>8427.1299999999992</v>
      </c>
      <c r="C279" s="12">
        <f t="shared" si="5"/>
        <v>8758.5799999999836</v>
      </c>
      <c r="D279" s="13">
        <v>47.78</v>
      </c>
    </row>
    <row r="280" spans="1:5" x14ac:dyDescent="0.3">
      <c r="A280">
        <v>10201</v>
      </c>
      <c r="B280">
        <v>8472.8499999999985</v>
      </c>
      <c r="C280" s="12">
        <f t="shared" si="5"/>
        <v>8806.3599999999842</v>
      </c>
      <c r="D280" s="13">
        <v>47.78</v>
      </c>
    </row>
    <row r="281" spans="1:5" x14ac:dyDescent="0.3">
      <c r="A281">
        <v>10301</v>
      </c>
      <c r="B281">
        <v>8518.5699999999979</v>
      </c>
      <c r="C281" s="12">
        <f t="shared" si="5"/>
        <v>8854.1399999999849</v>
      </c>
      <c r="D281" s="13">
        <v>47.78</v>
      </c>
    </row>
    <row r="282" spans="1:5" x14ac:dyDescent="0.3">
      <c r="A282">
        <v>10401</v>
      </c>
      <c r="B282">
        <v>8564.2899999999972</v>
      </c>
      <c r="C282" s="12">
        <f t="shared" si="5"/>
        <v>8901.9199999999855</v>
      </c>
      <c r="D282" s="13">
        <v>47.78</v>
      </c>
    </row>
    <row r="283" spans="1:5" x14ac:dyDescent="0.3">
      <c r="A283">
        <v>10501</v>
      </c>
      <c r="B283">
        <v>8610.0099999999966</v>
      </c>
      <c r="C283" s="12">
        <f t="shared" si="5"/>
        <v>8949.6999999999862</v>
      </c>
      <c r="D283" s="13">
        <v>47.78</v>
      </c>
    </row>
    <row r="284" spans="1:5" x14ac:dyDescent="0.3">
      <c r="A284">
        <v>10601</v>
      </c>
      <c r="B284">
        <v>8655.7299999999959</v>
      </c>
      <c r="C284" s="12">
        <f t="shared" si="5"/>
        <v>8997.4799999999868</v>
      </c>
      <c r="D284" s="13">
        <v>47.78</v>
      </c>
    </row>
    <row r="285" spans="1:5" x14ac:dyDescent="0.3">
      <c r="A285">
        <v>10701</v>
      </c>
      <c r="B285">
        <v>8701.4499999999953</v>
      </c>
      <c r="C285" s="12">
        <f t="shared" si="5"/>
        <v>9045.2599999999875</v>
      </c>
      <c r="D285" s="13">
        <v>47.78</v>
      </c>
    </row>
    <row r="286" spans="1:5" x14ac:dyDescent="0.3">
      <c r="A286">
        <v>10801</v>
      </c>
      <c r="B286">
        <v>8747.1699999999946</v>
      </c>
      <c r="C286" s="12">
        <f t="shared" si="5"/>
        <v>9093.0399999999881</v>
      </c>
      <c r="D286" s="13">
        <v>47.78</v>
      </c>
    </row>
    <row r="287" spans="1:5" x14ac:dyDescent="0.3">
      <c r="A287">
        <v>10901</v>
      </c>
      <c r="B287">
        <v>8792.889999999994</v>
      </c>
      <c r="C287" s="12">
        <f t="shared" si="5"/>
        <v>9140.8199999999888</v>
      </c>
      <c r="D287" s="13">
        <v>47.78</v>
      </c>
    </row>
    <row r="288" spans="1:5" x14ac:dyDescent="0.3">
      <c r="A288">
        <v>11001</v>
      </c>
      <c r="B288">
        <v>8838.6099999999933</v>
      </c>
      <c r="C288" s="12">
        <f t="shared" si="5"/>
        <v>9188.5999999999894</v>
      </c>
      <c r="D288" s="13">
        <v>47.78</v>
      </c>
    </row>
    <row r="289" spans="1:4" x14ac:dyDescent="0.3">
      <c r="A289">
        <v>11101</v>
      </c>
      <c r="B289">
        <v>8884.3299999999927</v>
      </c>
      <c r="C289" s="12">
        <f t="shared" si="5"/>
        <v>9236.3799999999901</v>
      </c>
      <c r="D289" s="13">
        <v>47.78</v>
      </c>
    </row>
    <row r="290" spans="1:4" x14ac:dyDescent="0.3">
      <c r="A290">
        <v>11201</v>
      </c>
      <c r="B290">
        <v>8930.049999999992</v>
      </c>
      <c r="C290" s="12">
        <f t="shared" si="5"/>
        <v>9284.1599999999908</v>
      </c>
      <c r="D290" s="13">
        <v>47.78</v>
      </c>
    </row>
    <row r="291" spans="1:4" x14ac:dyDescent="0.3">
      <c r="A291">
        <v>11301</v>
      </c>
      <c r="B291">
        <v>8975.7699999999913</v>
      </c>
      <c r="C291" s="12">
        <f t="shared" si="5"/>
        <v>9331.9399999999914</v>
      </c>
      <c r="D291" s="13">
        <v>47.78</v>
      </c>
    </row>
    <row r="292" spans="1:4" x14ac:dyDescent="0.3">
      <c r="A292">
        <v>11401</v>
      </c>
      <c r="B292">
        <v>9021.4899999999907</v>
      </c>
      <c r="C292" s="12">
        <f t="shared" si="5"/>
        <v>9379.7199999999921</v>
      </c>
      <c r="D292" s="13">
        <v>47.78</v>
      </c>
    </row>
    <row r="293" spans="1:4" x14ac:dyDescent="0.3">
      <c r="A293">
        <v>11501</v>
      </c>
      <c r="B293">
        <v>9067.20999999999</v>
      </c>
      <c r="C293" s="12">
        <f t="shared" si="5"/>
        <v>9427.4999999999927</v>
      </c>
      <c r="D293" s="13">
        <v>47.78</v>
      </c>
    </row>
    <row r="294" spans="1:4" x14ac:dyDescent="0.3">
      <c r="A294">
        <v>11601</v>
      </c>
      <c r="B294">
        <v>9112.9299999999894</v>
      </c>
      <c r="C294" s="12">
        <f t="shared" si="5"/>
        <v>9475.2799999999934</v>
      </c>
      <c r="D294" s="13">
        <v>47.78</v>
      </c>
    </row>
    <row r="295" spans="1:4" x14ac:dyDescent="0.3">
      <c r="A295">
        <v>11701</v>
      </c>
      <c r="B295">
        <v>9158.6499999999887</v>
      </c>
      <c r="C295" s="12">
        <f t="shared" si="5"/>
        <v>9523.059999999994</v>
      </c>
      <c r="D295" s="13">
        <v>47.78</v>
      </c>
    </row>
    <row r="296" spans="1:4" x14ac:dyDescent="0.3">
      <c r="A296">
        <v>11801</v>
      </c>
      <c r="B296">
        <v>9204.3699999999881</v>
      </c>
      <c r="C296" s="12">
        <f t="shared" si="5"/>
        <v>9570.8399999999947</v>
      </c>
      <c r="D296" s="13">
        <v>47.78</v>
      </c>
    </row>
    <row r="297" spans="1:4" x14ac:dyDescent="0.3">
      <c r="A297">
        <v>11901</v>
      </c>
      <c r="B297">
        <v>9250.0899999999874</v>
      </c>
      <c r="C297" s="12">
        <f t="shared" si="5"/>
        <v>9618.6199999999953</v>
      </c>
      <c r="D297" s="13">
        <v>47.78</v>
      </c>
    </row>
    <row r="298" spans="1:4" x14ac:dyDescent="0.3">
      <c r="A298">
        <v>12001</v>
      </c>
      <c r="B298">
        <v>9295.8099999999868</v>
      </c>
      <c r="C298" s="12">
        <f t="shared" si="5"/>
        <v>9666.399999999996</v>
      </c>
      <c r="D298" s="13">
        <v>47.78</v>
      </c>
    </row>
    <row r="299" spans="1:4" x14ac:dyDescent="0.3">
      <c r="A299">
        <v>12101</v>
      </c>
      <c r="B299">
        <v>9341.5299999999861</v>
      </c>
      <c r="C299" s="12">
        <f t="shared" si="5"/>
        <v>9714.1799999999967</v>
      </c>
      <c r="D299" s="13">
        <v>47.78</v>
      </c>
    </row>
    <row r="300" spans="1:4" x14ac:dyDescent="0.3">
      <c r="A300">
        <v>12201</v>
      </c>
      <c r="B300">
        <v>9387.2499999999854</v>
      </c>
      <c r="C300" s="12">
        <f t="shared" si="5"/>
        <v>9761.9599999999973</v>
      </c>
      <c r="D300" s="13">
        <v>47.78</v>
      </c>
    </row>
    <row r="301" spans="1:4" x14ac:dyDescent="0.3">
      <c r="A301">
        <v>12301</v>
      </c>
      <c r="B301">
        <v>9432.9699999999848</v>
      </c>
      <c r="C301" s="12">
        <f t="shared" si="5"/>
        <v>9809.739999999998</v>
      </c>
      <c r="D301" s="13">
        <v>47.78</v>
      </c>
    </row>
    <row r="302" spans="1:4" x14ac:dyDescent="0.3">
      <c r="A302">
        <v>12401</v>
      </c>
      <c r="B302">
        <v>9478.6899999999841</v>
      </c>
      <c r="C302" s="12">
        <f t="shared" si="5"/>
        <v>9857.5199999999986</v>
      </c>
      <c r="D302" s="13">
        <v>47.78</v>
      </c>
    </row>
    <row r="303" spans="1:4" x14ac:dyDescent="0.3">
      <c r="A303">
        <v>12501</v>
      </c>
      <c r="B303">
        <v>9524.4099999999835</v>
      </c>
      <c r="C303" s="12">
        <f t="shared" si="5"/>
        <v>9905.2999999999993</v>
      </c>
      <c r="D303" s="13">
        <v>47.78</v>
      </c>
    </row>
    <row r="304" spans="1:4" x14ac:dyDescent="0.3">
      <c r="A304">
        <v>12601</v>
      </c>
      <c r="B304">
        <v>9570.1299999999828</v>
      </c>
      <c r="C304" s="12">
        <f t="shared" si="5"/>
        <v>9953.08</v>
      </c>
      <c r="D304" s="13">
        <v>47.78</v>
      </c>
    </row>
    <row r="305" spans="1:4" x14ac:dyDescent="0.3">
      <c r="A305">
        <v>12701</v>
      </c>
      <c r="B305">
        <v>9615.8499999999822</v>
      </c>
      <c r="C305" s="12">
        <f t="shared" si="5"/>
        <v>10000.86</v>
      </c>
      <c r="D305" s="13">
        <v>47.78</v>
      </c>
    </row>
    <row r="306" spans="1:4" x14ac:dyDescent="0.3">
      <c r="A306">
        <v>12801</v>
      </c>
      <c r="B306">
        <v>9661.5699999999815</v>
      </c>
      <c r="C306" s="12">
        <f t="shared" si="5"/>
        <v>10048.640000000001</v>
      </c>
      <c r="D306" s="13">
        <v>47.78</v>
      </c>
    </row>
    <row r="307" spans="1:4" x14ac:dyDescent="0.3">
      <c r="A307">
        <v>12901</v>
      </c>
      <c r="B307">
        <v>9707.2899999999809</v>
      </c>
      <c r="C307" s="12">
        <f t="shared" si="5"/>
        <v>10096.420000000002</v>
      </c>
      <c r="D307" s="13">
        <v>47.78</v>
      </c>
    </row>
    <row r="308" spans="1:4" x14ac:dyDescent="0.3">
      <c r="A308">
        <v>13001</v>
      </c>
      <c r="B308">
        <v>9753.0099999999802</v>
      </c>
      <c r="C308" s="12">
        <f t="shared" si="5"/>
        <v>10144.200000000003</v>
      </c>
      <c r="D308" s="13">
        <v>47.78</v>
      </c>
    </row>
    <row r="309" spans="1:4" x14ac:dyDescent="0.3">
      <c r="A309">
        <v>13101</v>
      </c>
      <c r="B309">
        <v>9798.7299999999796</v>
      </c>
      <c r="C309" s="12">
        <f t="shared" si="5"/>
        <v>10191.980000000003</v>
      </c>
      <c r="D309" s="13">
        <v>47.78</v>
      </c>
    </row>
    <row r="310" spans="1:4" x14ac:dyDescent="0.3">
      <c r="A310">
        <v>13201</v>
      </c>
      <c r="B310">
        <v>9844.4499999999789</v>
      </c>
      <c r="C310" s="12">
        <f t="shared" si="5"/>
        <v>10239.760000000004</v>
      </c>
      <c r="D310" s="13">
        <v>47.78</v>
      </c>
    </row>
    <row r="311" spans="1:4" x14ac:dyDescent="0.3">
      <c r="A311">
        <v>13301</v>
      </c>
      <c r="B311">
        <v>9890.1699999999782</v>
      </c>
      <c r="C311" s="12">
        <f t="shared" si="5"/>
        <v>10287.540000000005</v>
      </c>
      <c r="D311" s="13">
        <v>47.78</v>
      </c>
    </row>
    <row r="312" spans="1:4" x14ac:dyDescent="0.3">
      <c r="A312">
        <v>13401</v>
      </c>
      <c r="B312">
        <v>9935.8899999999776</v>
      </c>
      <c r="C312" s="12">
        <f t="shared" si="5"/>
        <v>10335.320000000005</v>
      </c>
      <c r="D312" s="13">
        <v>47.78</v>
      </c>
    </row>
    <row r="313" spans="1:4" x14ac:dyDescent="0.3">
      <c r="A313">
        <v>13501</v>
      </c>
      <c r="B313">
        <v>9981.6099999999769</v>
      </c>
      <c r="C313" s="12">
        <f t="shared" si="5"/>
        <v>10383.100000000006</v>
      </c>
      <c r="D313" s="13">
        <v>47.78</v>
      </c>
    </row>
    <row r="314" spans="1:4" x14ac:dyDescent="0.3">
      <c r="A314">
        <v>13601</v>
      </c>
      <c r="B314">
        <v>10027.329999999976</v>
      </c>
      <c r="C314" s="12">
        <f t="shared" si="5"/>
        <v>10430.880000000006</v>
      </c>
      <c r="D314" s="13">
        <v>47.78</v>
      </c>
    </row>
    <row r="315" spans="1:4" x14ac:dyDescent="0.3">
      <c r="A315">
        <v>13701</v>
      </c>
      <c r="B315">
        <v>10073.049999999976</v>
      </c>
      <c r="C315" s="12">
        <f t="shared" si="5"/>
        <v>10478.660000000007</v>
      </c>
      <c r="D315" s="13">
        <v>47.78</v>
      </c>
    </row>
    <row r="316" spans="1:4" x14ac:dyDescent="0.3">
      <c r="A316">
        <v>13801</v>
      </c>
      <c r="B316">
        <v>10118.769999999975</v>
      </c>
      <c r="C316" s="12">
        <f t="shared" si="5"/>
        <v>10526.440000000008</v>
      </c>
      <c r="D316" s="13">
        <v>47.78</v>
      </c>
    </row>
    <row r="317" spans="1:4" x14ac:dyDescent="0.3">
      <c r="A317">
        <v>13901</v>
      </c>
      <c r="B317">
        <v>10164.489999999974</v>
      </c>
      <c r="C317" s="12">
        <f t="shared" ref="C317:C380" si="6">(D317)+C316</f>
        <v>10574.220000000008</v>
      </c>
      <c r="D317" s="13">
        <v>47.78</v>
      </c>
    </row>
    <row r="318" spans="1:4" x14ac:dyDescent="0.3">
      <c r="A318">
        <v>14001</v>
      </c>
      <c r="B318">
        <v>10210.209999999974</v>
      </c>
      <c r="C318" s="12">
        <f t="shared" si="6"/>
        <v>10622.000000000009</v>
      </c>
      <c r="D318" s="13">
        <v>47.78</v>
      </c>
    </row>
    <row r="319" spans="1:4" x14ac:dyDescent="0.3">
      <c r="A319">
        <v>14101</v>
      </c>
      <c r="B319">
        <v>10255.929999999973</v>
      </c>
      <c r="C319" s="12">
        <f t="shared" si="6"/>
        <v>10669.78000000001</v>
      </c>
      <c r="D319" s="13">
        <v>47.78</v>
      </c>
    </row>
    <row r="320" spans="1:4" x14ac:dyDescent="0.3">
      <c r="A320">
        <v>14201</v>
      </c>
      <c r="B320">
        <v>10301.649999999972</v>
      </c>
      <c r="C320" s="12">
        <f t="shared" si="6"/>
        <v>10717.56000000001</v>
      </c>
      <c r="D320" s="13">
        <v>47.78</v>
      </c>
    </row>
    <row r="321" spans="1:4" x14ac:dyDescent="0.3">
      <c r="A321">
        <v>14301</v>
      </c>
      <c r="B321">
        <v>10347.369999999972</v>
      </c>
      <c r="C321" s="12">
        <f t="shared" si="6"/>
        <v>10765.340000000011</v>
      </c>
      <c r="D321" s="13">
        <v>47.78</v>
      </c>
    </row>
    <row r="322" spans="1:4" x14ac:dyDescent="0.3">
      <c r="A322">
        <v>14401</v>
      </c>
      <c r="B322">
        <v>10393.089999999971</v>
      </c>
      <c r="C322" s="12">
        <f t="shared" si="6"/>
        <v>10813.120000000012</v>
      </c>
      <c r="D322" s="13">
        <v>47.78</v>
      </c>
    </row>
    <row r="323" spans="1:4" x14ac:dyDescent="0.3">
      <c r="A323">
        <v>14501</v>
      </c>
      <c r="B323">
        <v>10438.80999999997</v>
      </c>
      <c r="C323" s="12">
        <f t="shared" si="6"/>
        <v>10860.900000000012</v>
      </c>
      <c r="D323" s="13">
        <v>47.78</v>
      </c>
    </row>
    <row r="324" spans="1:4" x14ac:dyDescent="0.3">
      <c r="A324">
        <v>14601</v>
      </c>
      <c r="B324">
        <v>10484.52999999997</v>
      </c>
      <c r="C324" s="12">
        <f t="shared" si="6"/>
        <v>10908.680000000013</v>
      </c>
      <c r="D324" s="13">
        <v>47.78</v>
      </c>
    </row>
    <row r="325" spans="1:4" x14ac:dyDescent="0.3">
      <c r="A325">
        <v>14701</v>
      </c>
      <c r="B325">
        <v>10530.249999999969</v>
      </c>
      <c r="C325" s="12">
        <f t="shared" si="6"/>
        <v>10956.460000000014</v>
      </c>
      <c r="D325" s="13">
        <v>47.78</v>
      </c>
    </row>
    <row r="326" spans="1:4" x14ac:dyDescent="0.3">
      <c r="A326">
        <v>14801</v>
      </c>
      <c r="B326">
        <v>10575.969999999968</v>
      </c>
      <c r="C326" s="12">
        <f t="shared" si="6"/>
        <v>11004.240000000014</v>
      </c>
      <c r="D326" s="13">
        <v>47.78</v>
      </c>
    </row>
    <row r="327" spans="1:4" x14ac:dyDescent="0.3">
      <c r="A327">
        <v>14901</v>
      </c>
      <c r="B327">
        <v>10621.689999999968</v>
      </c>
      <c r="C327" s="12">
        <f t="shared" si="6"/>
        <v>11052.020000000015</v>
      </c>
      <c r="D327" s="13">
        <v>47.78</v>
      </c>
    </row>
    <row r="328" spans="1:4" x14ac:dyDescent="0.3">
      <c r="A328">
        <v>15001</v>
      </c>
      <c r="B328">
        <v>10667.409999999967</v>
      </c>
      <c r="C328" s="12">
        <f t="shared" si="6"/>
        <v>11099.800000000016</v>
      </c>
      <c r="D328" s="13">
        <v>47.78</v>
      </c>
    </row>
    <row r="329" spans="1:4" x14ac:dyDescent="0.3">
      <c r="A329">
        <v>15101</v>
      </c>
      <c r="B329">
        <v>10713.129999999966</v>
      </c>
      <c r="C329" s="12">
        <f t="shared" si="6"/>
        <v>11147.580000000016</v>
      </c>
      <c r="D329" s="13">
        <v>47.78</v>
      </c>
    </row>
    <row r="330" spans="1:4" x14ac:dyDescent="0.3">
      <c r="A330">
        <v>15201</v>
      </c>
      <c r="B330">
        <v>10758.849999999966</v>
      </c>
      <c r="C330" s="12">
        <f t="shared" si="6"/>
        <v>11195.360000000017</v>
      </c>
      <c r="D330" s="13">
        <v>47.78</v>
      </c>
    </row>
    <row r="331" spans="1:4" x14ac:dyDescent="0.3">
      <c r="A331">
        <v>15301</v>
      </c>
      <c r="B331">
        <v>10804.569999999965</v>
      </c>
      <c r="C331" s="12">
        <f t="shared" si="6"/>
        <v>11243.140000000018</v>
      </c>
      <c r="D331" s="13">
        <v>47.78</v>
      </c>
    </row>
    <row r="332" spans="1:4" x14ac:dyDescent="0.3">
      <c r="A332">
        <v>15401</v>
      </c>
      <c r="B332">
        <v>10850.289999999964</v>
      </c>
      <c r="C332" s="12">
        <f t="shared" si="6"/>
        <v>11290.920000000018</v>
      </c>
      <c r="D332" s="13">
        <v>47.78</v>
      </c>
    </row>
    <row r="333" spans="1:4" x14ac:dyDescent="0.3">
      <c r="A333">
        <v>15501</v>
      </c>
      <c r="B333">
        <v>10896.009999999964</v>
      </c>
      <c r="C333" s="12">
        <f t="shared" si="6"/>
        <v>11338.700000000019</v>
      </c>
      <c r="D333" s="13">
        <v>47.78</v>
      </c>
    </row>
    <row r="334" spans="1:4" x14ac:dyDescent="0.3">
      <c r="A334">
        <v>15601</v>
      </c>
      <c r="B334">
        <v>10941.729999999963</v>
      </c>
      <c r="C334" s="12">
        <f t="shared" si="6"/>
        <v>11386.48000000002</v>
      </c>
      <c r="D334" s="13">
        <v>47.78</v>
      </c>
    </row>
    <row r="335" spans="1:4" x14ac:dyDescent="0.3">
      <c r="A335">
        <v>15701</v>
      </c>
      <c r="B335">
        <v>10987.449999999963</v>
      </c>
      <c r="C335" s="12">
        <f t="shared" si="6"/>
        <v>11434.26000000002</v>
      </c>
      <c r="D335" s="13">
        <v>47.78</v>
      </c>
    </row>
    <row r="336" spans="1:4" x14ac:dyDescent="0.3">
      <c r="A336">
        <v>15801</v>
      </c>
      <c r="B336">
        <v>11033.169999999962</v>
      </c>
      <c r="C336" s="12">
        <f t="shared" si="6"/>
        <v>11482.040000000021</v>
      </c>
      <c r="D336" s="13">
        <v>47.78</v>
      </c>
    </row>
    <row r="337" spans="1:4" x14ac:dyDescent="0.3">
      <c r="A337">
        <v>15901</v>
      </c>
      <c r="B337">
        <v>11078.889999999961</v>
      </c>
      <c r="C337" s="12">
        <f t="shared" si="6"/>
        <v>11529.820000000022</v>
      </c>
      <c r="D337" s="13">
        <v>47.78</v>
      </c>
    </row>
    <row r="338" spans="1:4" x14ac:dyDescent="0.3">
      <c r="A338">
        <v>16001</v>
      </c>
      <c r="B338">
        <v>11124.609999999961</v>
      </c>
      <c r="C338" s="12">
        <f t="shared" si="6"/>
        <v>11577.600000000022</v>
      </c>
      <c r="D338" s="13">
        <v>47.78</v>
      </c>
    </row>
    <row r="339" spans="1:4" x14ac:dyDescent="0.3">
      <c r="A339">
        <v>16101</v>
      </c>
      <c r="B339">
        <v>11170.32999999996</v>
      </c>
      <c r="C339" s="12">
        <f t="shared" si="6"/>
        <v>11625.380000000023</v>
      </c>
      <c r="D339" s="13">
        <v>47.78</v>
      </c>
    </row>
    <row r="340" spans="1:4" x14ac:dyDescent="0.3">
      <c r="A340">
        <v>16201</v>
      </c>
      <c r="B340">
        <v>11216.049999999959</v>
      </c>
      <c r="C340" s="12">
        <f t="shared" si="6"/>
        <v>11673.160000000024</v>
      </c>
      <c r="D340" s="13">
        <v>47.78</v>
      </c>
    </row>
    <row r="341" spans="1:4" x14ac:dyDescent="0.3">
      <c r="A341">
        <v>16301</v>
      </c>
      <c r="B341">
        <v>11261.769999999959</v>
      </c>
      <c r="C341" s="12">
        <f t="shared" si="6"/>
        <v>11720.940000000024</v>
      </c>
      <c r="D341" s="13">
        <v>47.78</v>
      </c>
    </row>
    <row r="342" spans="1:4" x14ac:dyDescent="0.3">
      <c r="A342">
        <v>16401</v>
      </c>
      <c r="B342">
        <v>11307.489999999958</v>
      </c>
      <c r="C342" s="12">
        <f t="shared" si="6"/>
        <v>11768.720000000025</v>
      </c>
      <c r="D342" s="13">
        <v>47.78</v>
      </c>
    </row>
    <row r="343" spans="1:4" x14ac:dyDescent="0.3">
      <c r="A343">
        <v>16501</v>
      </c>
      <c r="B343">
        <v>11353.209999999957</v>
      </c>
      <c r="C343" s="12">
        <f t="shared" si="6"/>
        <v>11816.500000000025</v>
      </c>
      <c r="D343" s="13">
        <v>47.78</v>
      </c>
    </row>
    <row r="344" spans="1:4" x14ac:dyDescent="0.3">
      <c r="A344">
        <v>16601</v>
      </c>
      <c r="B344">
        <v>11398.929999999957</v>
      </c>
      <c r="C344" s="12">
        <f t="shared" si="6"/>
        <v>11864.280000000026</v>
      </c>
      <c r="D344" s="13">
        <v>47.78</v>
      </c>
    </row>
    <row r="345" spans="1:4" x14ac:dyDescent="0.3">
      <c r="A345">
        <v>16701</v>
      </c>
      <c r="B345">
        <v>11444.649999999956</v>
      </c>
      <c r="C345" s="12">
        <f t="shared" si="6"/>
        <v>11912.060000000027</v>
      </c>
      <c r="D345" s="13">
        <v>47.78</v>
      </c>
    </row>
    <row r="346" spans="1:4" x14ac:dyDescent="0.3">
      <c r="A346">
        <v>16801</v>
      </c>
      <c r="B346">
        <v>11490.369999999955</v>
      </c>
      <c r="C346" s="12">
        <f t="shared" si="6"/>
        <v>11959.840000000027</v>
      </c>
      <c r="D346" s="13">
        <v>47.78</v>
      </c>
    </row>
    <row r="347" spans="1:4" x14ac:dyDescent="0.3">
      <c r="A347">
        <v>16901</v>
      </c>
      <c r="B347">
        <v>11536.089999999955</v>
      </c>
      <c r="C347" s="12">
        <f t="shared" si="6"/>
        <v>12007.620000000028</v>
      </c>
      <c r="D347" s="13">
        <v>47.78</v>
      </c>
    </row>
    <row r="348" spans="1:4" x14ac:dyDescent="0.3">
      <c r="A348">
        <v>17001</v>
      </c>
      <c r="B348">
        <v>11581.809999999954</v>
      </c>
      <c r="C348" s="12">
        <f t="shared" si="6"/>
        <v>12055.400000000029</v>
      </c>
      <c r="D348" s="13">
        <v>47.78</v>
      </c>
    </row>
    <row r="349" spans="1:4" x14ac:dyDescent="0.3">
      <c r="A349">
        <v>17101</v>
      </c>
      <c r="B349">
        <v>11627.529999999953</v>
      </c>
      <c r="C349" s="12">
        <f t="shared" si="6"/>
        <v>12103.180000000029</v>
      </c>
      <c r="D349" s="13">
        <v>47.78</v>
      </c>
    </row>
    <row r="350" spans="1:4" x14ac:dyDescent="0.3">
      <c r="A350">
        <v>17201</v>
      </c>
      <c r="B350">
        <v>11673.249999999953</v>
      </c>
      <c r="C350" s="12">
        <f t="shared" si="6"/>
        <v>12150.96000000003</v>
      </c>
      <c r="D350" s="13">
        <v>47.78</v>
      </c>
    </row>
    <row r="351" spans="1:4" x14ac:dyDescent="0.3">
      <c r="A351">
        <v>17301</v>
      </c>
      <c r="B351">
        <v>11718.969999999952</v>
      </c>
      <c r="C351" s="12">
        <f t="shared" si="6"/>
        <v>12198.740000000031</v>
      </c>
      <c r="D351" s="13">
        <v>47.78</v>
      </c>
    </row>
    <row r="352" spans="1:4" x14ac:dyDescent="0.3">
      <c r="A352">
        <v>17401</v>
      </c>
      <c r="B352">
        <v>11764.689999999951</v>
      </c>
      <c r="C352" s="12">
        <f t="shared" si="6"/>
        <v>12246.520000000031</v>
      </c>
      <c r="D352" s="13">
        <v>47.78</v>
      </c>
    </row>
    <row r="353" spans="1:4" x14ac:dyDescent="0.3">
      <c r="A353">
        <v>17501</v>
      </c>
      <c r="B353">
        <v>11810.409999999951</v>
      </c>
      <c r="C353" s="12">
        <f t="shared" si="6"/>
        <v>12294.300000000032</v>
      </c>
      <c r="D353" s="13">
        <v>47.78</v>
      </c>
    </row>
    <row r="354" spans="1:4" x14ac:dyDescent="0.3">
      <c r="A354">
        <v>17601</v>
      </c>
      <c r="B354">
        <v>11856.12999999995</v>
      </c>
      <c r="C354" s="12">
        <f t="shared" si="6"/>
        <v>12342.080000000033</v>
      </c>
      <c r="D354" s="13">
        <v>47.78</v>
      </c>
    </row>
    <row r="355" spans="1:4" x14ac:dyDescent="0.3">
      <c r="A355">
        <v>17701</v>
      </c>
      <c r="B355">
        <v>11901.849999999949</v>
      </c>
      <c r="C355" s="12">
        <f t="shared" si="6"/>
        <v>12389.860000000033</v>
      </c>
      <c r="D355" s="13">
        <v>47.78</v>
      </c>
    </row>
    <row r="356" spans="1:4" x14ac:dyDescent="0.3">
      <c r="A356">
        <v>17801</v>
      </c>
      <c r="B356">
        <v>11947.569999999949</v>
      </c>
      <c r="C356" s="12">
        <f t="shared" si="6"/>
        <v>12437.640000000034</v>
      </c>
      <c r="D356" s="13">
        <v>47.78</v>
      </c>
    </row>
    <row r="357" spans="1:4" x14ac:dyDescent="0.3">
      <c r="A357">
        <v>17901</v>
      </c>
      <c r="B357">
        <v>11993.289999999948</v>
      </c>
      <c r="C357" s="12">
        <f t="shared" si="6"/>
        <v>12485.420000000035</v>
      </c>
      <c r="D357" s="13">
        <v>47.78</v>
      </c>
    </row>
    <row r="358" spans="1:4" x14ac:dyDescent="0.3">
      <c r="A358">
        <v>18001</v>
      </c>
      <c r="B358">
        <v>12039.009999999947</v>
      </c>
      <c r="C358" s="12">
        <f t="shared" si="6"/>
        <v>12533.200000000035</v>
      </c>
      <c r="D358" s="13">
        <v>47.78</v>
      </c>
    </row>
    <row r="359" spans="1:4" x14ac:dyDescent="0.3">
      <c r="A359">
        <v>18101</v>
      </c>
      <c r="B359">
        <v>12084.729999999947</v>
      </c>
      <c r="C359" s="12">
        <f t="shared" si="6"/>
        <v>12580.980000000036</v>
      </c>
      <c r="D359" s="13">
        <v>47.78</v>
      </c>
    </row>
    <row r="360" spans="1:4" x14ac:dyDescent="0.3">
      <c r="A360">
        <v>18201</v>
      </c>
      <c r="B360">
        <v>12130.449999999946</v>
      </c>
      <c r="C360" s="12">
        <f t="shared" si="6"/>
        <v>12628.760000000037</v>
      </c>
      <c r="D360" s="13">
        <v>47.78</v>
      </c>
    </row>
    <row r="361" spans="1:4" x14ac:dyDescent="0.3">
      <c r="A361">
        <v>18301</v>
      </c>
      <c r="B361">
        <v>12176.169999999946</v>
      </c>
      <c r="C361" s="12">
        <f t="shared" si="6"/>
        <v>12676.540000000037</v>
      </c>
      <c r="D361" s="13">
        <v>47.78</v>
      </c>
    </row>
    <row r="362" spans="1:4" x14ac:dyDescent="0.3">
      <c r="A362">
        <v>18401</v>
      </c>
      <c r="B362">
        <v>12221.889999999945</v>
      </c>
      <c r="C362" s="12">
        <f t="shared" si="6"/>
        <v>12724.320000000038</v>
      </c>
      <c r="D362" s="13">
        <v>47.78</v>
      </c>
    </row>
    <row r="363" spans="1:4" x14ac:dyDescent="0.3">
      <c r="A363">
        <v>18501</v>
      </c>
      <c r="B363">
        <v>12267.609999999944</v>
      </c>
      <c r="C363" s="12">
        <f t="shared" si="6"/>
        <v>12772.100000000039</v>
      </c>
      <c r="D363" s="13">
        <v>47.78</v>
      </c>
    </row>
    <row r="364" spans="1:4" x14ac:dyDescent="0.3">
      <c r="A364">
        <v>18601</v>
      </c>
      <c r="B364">
        <v>12313.329999999944</v>
      </c>
      <c r="C364" s="12">
        <f t="shared" si="6"/>
        <v>12819.880000000039</v>
      </c>
      <c r="D364" s="13">
        <v>47.78</v>
      </c>
    </row>
    <row r="365" spans="1:4" x14ac:dyDescent="0.3">
      <c r="A365">
        <v>18701</v>
      </c>
      <c r="B365">
        <v>12359.049999999943</v>
      </c>
      <c r="C365" s="12">
        <f t="shared" si="6"/>
        <v>12867.66000000004</v>
      </c>
      <c r="D365" s="13">
        <v>47.78</v>
      </c>
    </row>
    <row r="366" spans="1:4" x14ac:dyDescent="0.3">
      <c r="A366">
        <v>18801</v>
      </c>
      <c r="B366">
        <v>12404.769999999942</v>
      </c>
      <c r="C366" s="12">
        <f t="shared" si="6"/>
        <v>12915.440000000041</v>
      </c>
      <c r="D366" s="13">
        <v>47.78</v>
      </c>
    </row>
    <row r="367" spans="1:4" x14ac:dyDescent="0.3">
      <c r="A367">
        <v>18901</v>
      </c>
      <c r="B367">
        <v>12450.489999999942</v>
      </c>
      <c r="C367" s="12">
        <f t="shared" si="6"/>
        <v>12963.220000000041</v>
      </c>
      <c r="D367" s="13">
        <v>47.78</v>
      </c>
    </row>
    <row r="368" spans="1:4" x14ac:dyDescent="0.3">
      <c r="A368">
        <v>19001</v>
      </c>
      <c r="B368">
        <v>12496.209999999941</v>
      </c>
      <c r="C368" s="12">
        <f t="shared" si="6"/>
        <v>13011.000000000042</v>
      </c>
      <c r="D368" s="13">
        <v>47.78</v>
      </c>
    </row>
    <row r="369" spans="1:4" x14ac:dyDescent="0.3">
      <c r="A369">
        <v>19101</v>
      </c>
      <c r="B369">
        <v>12541.92999999994</v>
      </c>
      <c r="C369" s="12">
        <f t="shared" si="6"/>
        <v>13058.780000000042</v>
      </c>
      <c r="D369" s="13">
        <v>47.78</v>
      </c>
    </row>
    <row r="370" spans="1:4" x14ac:dyDescent="0.3">
      <c r="A370">
        <v>19201</v>
      </c>
      <c r="B370">
        <v>12587.64999999994</v>
      </c>
      <c r="C370" s="12">
        <f t="shared" si="6"/>
        <v>13106.560000000043</v>
      </c>
      <c r="D370" s="13">
        <v>47.78</v>
      </c>
    </row>
    <row r="371" spans="1:4" x14ac:dyDescent="0.3">
      <c r="A371">
        <v>19301</v>
      </c>
      <c r="B371">
        <v>12633.369999999939</v>
      </c>
      <c r="C371" s="12">
        <f t="shared" si="6"/>
        <v>13154.340000000044</v>
      </c>
      <c r="D371" s="13">
        <v>47.78</v>
      </c>
    </row>
    <row r="372" spans="1:4" x14ac:dyDescent="0.3">
      <c r="A372">
        <v>19401</v>
      </c>
      <c r="B372">
        <v>12679.089999999938</v>
      </c>
      <c r="C372" s="12">
        <f t="shared" si="6"/>
        <v>13202.120000000044</v>
      </c>
      <c r="D372" s="13">
        <v>47.78</v>
      </c>
    </row>
    <row r="373" spans="1:4" x14ac:dyDescent="0.3">
      <c r="A373">
        <v>19501</v>
      </c>
      <c r="B373">
        <v>12724.809999999938</v>
      </c>
      <c r="C373" s="12">
        <f t="shared" si="6"/>
        <v>13249.900000000045</v>
      </c>
      <c r="D373" s="13">
        <v>47.78</v>
      </c>
    </row>
    <row r="374" spans="1:4" x14ac:dyDescent="0.3">
      <c r="A374">
        <v>19601</v>
      </c>
      <c r="B374">
        <v>12770.529999999937</v>
      </c>
      <c r="C374" s="12">
        <f t="shared" si="6"/>
        <v>13297.680000000046</v>
      </c>
      <c r="D374" s="13">
        <v>47.78</v>
      </c>
    </row>
    <row r="375" spans="1:4" x14ac:dyDescent="0.3">
      <c r="A375">
        <v>19701</v>
      </c>
      <c r="B375">
        <v>12816.249999999936</v>
      </c>
      <c r="C375" s="12">
        <f t="shared" si="6"/>
        <v>13345.460000000046</v>
      </c>
      <c r="D375" s="13">
        <v>47.78</v>
      </c>
    </row>
    <row r="376" spans="1:4" x14ac:dyDescent="0.3">
      <c r="A376">
        <v>19801</v>
      </c>
      <c r="B376">
        <v>12861.969999999936</v>
      </c>
      <c r="C376" s="12">
        <f t="shared" si="6"/>
        <v>13393.240000000047</v>
      </c>
      <c r="D376" s="13">
        <v>47.78</v>
      </c>
    </row>
    <row r="377" spans="1:4" x14ac:dyDescent="0.3">
      <c r="A377">
        <v>19901</v>
      </c>
      <c r="B377">
        <v>12907.689999999935</v>
      </c>
      <c r="C377" s="12">
        <f t="shared" si="6"/>
        <v>13441.020000000048</v>
      </c>
      <c r="D377" s="13">
        <v>47.78</v>
      </c>
    </row>
    <row r="378" spans="1:4" x14ac:dyDescent="0.3">
      <c r="A378">
        <v>20001</v>
      </c>
      <c r="B378">
        <v>12953.409999999934</v>
      </c>
      <c r="C378" s="12">
        <f t="shared" si="6"/>
        <v>13488.800000000048</v>
      </c>
      <c r="D378" s="13">
        <v>47.78</v>
      </c>
    </row>
    <row r="379" spans="1:4" x14ac:dyDescent="0.3">
      <c r="A379">
        <v>20101</v>
      </c>
      <c r="B379">
        <v>12999.129999999934</v>
      </c>
      <c r="C379" s="12">
        <f t="shared" si="6"/>
        <v>13536.580000000049</v>
      </c>
      <c r="D379" s="13">
        <v>47.78</v>
      </c>
    </row>
    <row r="380" spans="1:4" x14ac:dyDescent="0.3">
      <c r="A380">
        <v>20201</v>
      </c>
      <c r="B380">
        <v>13044.849999999933</v>
      </c>
      <c r="C380" s="12">
        <f t="shared" si="6"/>
        <v>13584.36000000005</v>
      </c>
      <c r="D380" s="13">
        <v>47.78</v>
      </c>
    </row>
    <row r="381" spans="1:4" x14ac:dyDescent="0.3">
      <c r="A381">
        <v>20301</v>
      </c>
      <c r="B381">
        <v>13090.569999999932</v>
      </c>
      <c r="C381" s="12">
        <f t="shared" ref="C381:C444" si="7">(D381)+C380</f>
        <v>13632.14000000005</v>
      </c>
      <c r="D381" s="13">
        <v>47.78</v>
      </c>
    </row>
    <row r="382" spans="1:4" x14ac:dyDescent="0.3">
      <c r="A382">
        <v>20401</v>
      </c>
      <c r="B382">
        <v>13136.289999999932</v>
      </c>
      <c r="C382" s="12">
        <f t="shared" si="7"/>
        <v>13679.920000000051</v>
      </c>
      <c r="D382" s="13">
        <v>47.78</v>
      </c>
    </row>
    <row r="383" spans="1:4" x14ac:dyDescent="0.3">
      <c r="A383">
        <v>20501</v>
      </c>
      <c r="B383">
        <v>13182.009999999931</v>
      </c>
      <c r="C383" s="12">
        <f t="shared" si="7"/>
        <v>13727.700000000052</v>
      </c>
      <c r="D383" s="13">
        <v>47.78</v>
      </c>
    </row>
    <row r="384" spans="1:4" x14ac:dyDescent="0.3">
      <c r="A384">
        <v>20601</v>
      </c>
      <c r="B384">
        <v>13227.72999999993</v>
      </c>
      <c r="C384" s="12">
        <f t="shared" si="7"/>
        <v>13775.480000000052</v>
      </c>
      <c r="D384" s="13">
        <v>47.78</v>
      </c>
    </row>
    <row r="385" spans="1:4" x14ac:dyDescent="0.3">
      <c r="A385">
        <v>20701</v>
      </c>
      <c r="B385">
        <v>13273.44999999993</v>
      </c>
      <c r="C385" s="12">
        <f t="shared" si="7"/>
        <v>13823.260000000053</v>
      </c>
      <c r="D385" s="13">
        <v>47.78</v>
      </c>
    </row>
    <row r="386" spans="1:4" x14ac:dyDescent="0.3">
      <c r="A386">
        <v>20801</v>
      </c>
      <c r="B386">
        <v>13319.169999999929</v>
      </c>
      <c r="C386" s="12">
        <f t="shared" si="7"/>
        <v>13871.040000000054</v>
      </c>
      <c r="D386" s="13">
        <v>47.78</v>
      </c>
    </row>
    <row r="387" spans="1:4" x14ac:dyDescent="0.3">
      <c r="A387">
        <v>20901</v>
      </c>
      <c r="B387">
        <v>13364.889999999928</v>
      </c>
      <c r="C387" s="12">
        <f t="shared" si="7"/>
        <v>13918.820000000054</v>
      </c>
      <c r="D387" s="13">
        <v>47.78</v>
      </c>
    </row>
    <row r="388" spans="1:4" x14ac:dyDescent="0.3">
      <c r="A388">
        <v>21001</v>
      </c>
      <c r="B388">
        <v>13410.609999999928</v>
      </c>
      <c r="C388" s="12">
        <f t="shared" si="7"/>
        <v>13966.600000000055</v>
      </c>
      <c r="D388" s="13">
        <v>47.78</v>
      </c>
    </row>
    <row r="389" spans="1:4" x14ac:dyDescent="0.3">
      <c r="A389">
        <v>21101</v>
      </c>
      <c r="B389">
        <v>13456.329999999927</v>
      </c>
      <c r="C389" s="12">
        <f t="shared" si="7"/>
        <v>14014.380000000056</v>
      </c>
      <c r="D389" s="13">
        <v>47.78</v>
      </c>
    </row>
    <row r="390" spans="1:4" x14ac:dyDescent="0.3">
      <c r="A390">
        <v>21201</v>
      </c>
      <c r="B390">
        <v>13502.049999999927</v>
      </c>
      <c r="C390" s="12">
        <f t="shared" si="7"/>
        <v>14062.160000000056</v>
      </c>
      <c r="D390" s="13">
        <v>47.78</v>
      </c>
    </row>
    <row r="391" spans="1:4" x14ac:dyDescent="0.3">
      <c r="A391">
        <v>21301</v>
      </c>
      <c r="B391">
        <v>13547.769999999926</v>
      </c>
      <c r="C391" s="12">
        <f t="shared" si="7"/>
        <v>14109.940000000057</v>
      </c>
      <c r="D391" s="13">
        <v>47.78</v>
      </c>
    </row>
    <row r="392" spans="1:4" x14ac:dyDescent="0.3">
      <c r="A392">
        <v>21401</v>
      </c>
      <c r="B392">
        <v>13593.489999999925</v>
      </c>
      <c r="C392" s="12">
        <f t="shared" si="7"/>
        <v>14157.720000000058</v>
      </c>
      <c r="D392" s="13">
        <v>47.78</v>
      </c>
    </row>
    <row r="393" spans="1:4" x14ac:dyDescent="0.3">
      <c r="A393">
        <v>21501</v>
      </c>
      <c r="B393">
        <v>13639.209999999925</v>
      </c>
      <c r="C393" s="12">
        <f t="shared" si="7"/>
        <v>14205.500000000058</v>
      </c>
      <c r="D393" s="13">
        <v>47.78</v>
      </c>
    </row>
    <row r="394" spans="1:4" x14ac:dyDescent="0.3">
      <c r="A394">
        <v>21601</v>
      </c>
      <c r="B394">
        <v>13684.929999999924</v>
      </c>
      <c r="C394" s="12">
        <f t="shared" si="7"/>
        <v>14253.280000000059</v>
      </c>
      <c r="D394" s="13">
        <v>47.78</v>
      </c>
    </row>
    <row r="395" spans="1:4" x14ac:dyDescent="0.3">
      <c r="A395">
        <v>21701</v>
      </c>
      <c r="B395">
        <v>13730.649999999923</v>
      </c>
      <c r="C395" s="12">
        <f t="shared" si="7"/>
        <v>14301.06000000006</v>
      </c>
      <c r="D395" s="13">
        <v>47.78</v>
      </c>
    </row>
    <row r="396" spans="1:4" x14ac:dyDescent="0.3">
      <c r="A396">
        <v>21801</v>
      </c>
      <c r="B396">
        <v>13776.369999999923</v>
      </c>
      <c r="C396" s="12">
        <f t="shared" si="7"/>
        <v>14348.84000000006</v>
      </c>
      <c r="D396" s="13">
        <v>47.78</v>
      </c>
    </row>
    <row r="397" spans="1:4" x14ac:dyDescent="0.3">
      <c r="A397">
        <v>21901</v>
      </c>
      <c r="B397">
        <v>13822.089999999922</v>
      </c>
      <c r="C397" s="12">
        <f t="shared" si="7"/>
        <v>14396.620000000061</v>
      </c>
      <c r="D397" s="13">
        <v>47.78</v>
      </c>
    </row>
    <row r="398" spans="1:4" x14ac:dyDescent="0.3">
      <c r="A398">
        <v>22001</v>
      </c>
      <c r="B398">
        <v>13867.809999999921</v>
      </c>
      <c r="C398" s="12">
        <f t="shared" si="7"/>
        <v>14444.400000000061</v>
      </c>
      <c r="D398" s="13">
        <v>47.78</v>
      </c>
    </row>
    <row r="399" spans="1:4" x14ac:dyDescent="0.3">
      <c r="A399">
        <v>22101</v>
      </c>
      <c r="B399">
        <v>13913.529999999921</v>
      </c>
      <c r="C399" s="12">
        <f t="shared" si="7"/>
        <v>14492.180000000062</v>
      </c>
      <c r="D399" s="13">
        <v>47.78</v>
      </c>
    </row>
    <row r="400" spans="1:4" x14ac:dyDescent="0.3">
      <c r="A400">
        <v>22201</v>
      </c>
      <c r="B400">
        <v>13959.24999999992</v>
      </c>
      <c r="C400" s="12">
        <f t="shared" si="7"/>
        <v>14539.960000000063</v>
      </c>
      <c r="D400" s="13">
        <v>47.78</v>
      </c>
    </row>
    <row r="401" spans="1:4" x14ac:dyDescent="0.3">
      <c r="A401">
        <v>22301</v>
      </c>
      <c r="B401">
        <v>14004.969999999919</v>
      </c>
      <c r="C401" s="12">
        <f t="shared" si="7"/>
        <v>14587.740000000063</v>
      </c>
      <c r="D401" s="13">
        <v>47.78</v>
      </c>
    </row>
    <row r="402" spans="1:4" x14ac:dyDescent="0.3">
      <c r="A402">
        <v>22401</v>
      </c>
      <c r="B402">
        <v>14050.689999999919</v>
      </c>
      <c r="C402" s="12">
        <f t="shared" si="7"/>
        <v>14635.520000000064</v>
      </c>
      <c r="D402" s="13">
        <v>47.78</v>
      </c>
    </row>
    <row r="403" spans="1:4" x14ac:dyDescent="0.3">
      <c r="A403">
        <v>22501</v>
      </c>
      <c r="B403">
        <v>14096.409999999918</v>
      </c>
      <c r="C403" s="12">
        <f t="shared" si="7"/>
        <v>14683.300000000065</v>
      </c>
      <c r="D403" s="13">
        <v>47.78</v>
      </c>
    </row>
    <row r="404" spans="1:4" x14ac:dyDescent="0.3">
      <c r="A404">
        <v>22601</v>
      </c>
      <c r="B404">
        <v>14142.129999999917</v>
      </c>
      <c r="C404" s="12">
        <f t="shared" si="7"/>
        <v>14731.080000000065</v>
      </c>
      <c r="D404" s="13">
        <v>47.78</v>
      </c>
    </row>
    <row r="405" spans="1:4" x14ac:dyDescent="0.3">
      <c r="A405">
        <v>22701</v>
      </c>
      <c r="B405">
        <v>14187.849999999917</v>
      </c>
      <c r="C405" s="12">
        <f t="shared" si="7"/>
        <v>14778.860000000066</v>
      </c>
      <c r="D405" s="13">
        <v>47.78</v>
      </c>
    </row>
    <row r="406" spans="1:4" x14ac:dyDescent="0.3">
      <c r="A406">
        <v>22801</v>
      </c>
      <c r="B406">
        <v>14233.569999999916</v>
      </c>
      <c r="C406" s="12">
        <f t="shared" si="7"/>
        <v>14826.640000000067</v>
      </c>
      <c r="D406" s="13">
        <v>47.78</v>
      </c>
    </row>
    <row r="407" spans="1:4" x14ac:dyDescent="0.3">
      <c r="A407">
        <v>22901</v>
      </c>
      <c r="B407">
        <v>14279.289999999915</v>
      </c>
      <c r="C407" s="12">
        <f t="shared" si="7"/>
        <v>14874.420000000067</v>
      </c>
      <c r="D407" s="13">
        <v>47.78</v>
      </c>
    </row>
    <row r="408" spans="1:4" x14ac:dyDescent="0.3">
      <c r="A408">
        <v>23001</v>
      </c>
      <c r="B408">
        <v>14325.009999999915</v>
      </c>
      <c r="C408" s="12">
        <f t="shared" si="7"/>
        <v>14922.200000000068</v>
      </c>
      <c r="D408" s="13">
        <v>47.78</v>
      </c>
    </row>
    <row r="409" spans="1:4" x14ac:dyDescent="0.3">
      <c r="A409">
        <v>23101</v>
      </c>
      <c r="B409">
        <v>14370.729999999914</v>
      </c>
      <c r="C409" s="12">
        <f t="shared" si="7"/>
        <v>14969.980000000069</v>
      </c>
      <c r="D409" s="13">
        <v>47.78</v>
      </c>
    </row>
    <row r="410" spans="1:4" x14ac:dyDescent="0.3">
      <c r="A410">
        <v>23201</v>
      </c>
      <c r="B410">
        <v>14416.449999999913</v>
      </c>
      <c r="C410" s="12">
        <f t="shared" si="7"/>
        <v>15017.760000000069</v>
      </c>
      <c r="D410" s="13">
        <v>47.78</v>
      </c>
    </row>
    <row r="411" spans="1:4" x14ac:dyDescent="0.3">
      <c r="A411">
        <v>23301</v>
      </c>
      <c r="B411">
        <v>14462.169999999913</v>
      </c>
      <c r="C411" s="12">
        <f t="shared" si="7"/>
        <v>15065.54000000007</v>
      </c>
      <c r="D411" s="13">
        <v>47.78</v>
      </c>
    </row>
    <row r="412" spans="1:4" x14ac:dyDescent="0.3">
      <c r="A412">
        <v>23401</v>
      </c>
      <c r="B412">
        <v>14507.889999999912</v>
      </c>
      <c r="C412" s="12">
        <f t="shared" si="7"/>
        <v>15113.320000000071</v>
      </c>
      <c r="D412" s="13">
        <v>47.78</v>
      </c>
    </row>
    <row r="413" spans="1:4" x14ac:dyDescent="0.3">
      <c r="A413">
        <v>23501</v>
      </c>
      <c r="B413">
        <v>14553.609999999911</v>
      </c>
      <c r="C413" s="12">
        <f t="shared" si="7"/>
        <v>15161.100000000071</v>
      </c>
      <c r="D413" s="13">
        <v>47.78</v>
      </c>
    </row>
    <row r="414" spans="1:4" x14ac:dyDescent="0.3">
      <c r="A414">
        <v>23601</v>
      </c>
      <c r="B414">
        <v>14599.329999999911</v>
      </c>
      <c r="C414" s="12">
        <f t="shared" si="7"/>
        <v>15208.880000000072</v>
      </c>
      <c r="D414" s="13">
        <v>47.78</v>
      </c>
    </row>
    <row r="415" spans="1:4" x14ac:dyDescent="0.3">
      <c r="A415">
        <v>23701</v>
      </c>
      <c r="B415">
        <v>14645.04999999991</v>
      </c>
      <c r="C415" s="12">
        <f t="shared" si="7"/>
        <v>15256.660000000073</v>
      </c>
      <c r="D415" s="13">
        <v>47.78</v>
      </c>
    </row>
    <row r="416" spans="1:4" x14ac:dyDescent="0.3">
      <c r="A416">
        <v>23801</v>
      </c>
      <c r="B416">
        <v>14690.769999999909</v>
      </c>
      <c r="C416" s="12">
        <f t="shared" si="7"/>
        <v>15304.440000000073</v>
      </c>
      <c r="D416" s="13">
        <v>47.78</v>
      </c>
    </row>
    <row r="417" spans="1:5" x14ac:dyDescent="0.3">
      <c r="A417">
        <v>23901</v>
      </c>
      <c r="B417">
        <v>14736.489999999909</v>
      </c>
      <c r="C417" s="12">
        <f t="shared" si="7"/>
        <v>15352.220000000074</v>
      </c>
      <c r="D417" s="13">
        <v>47.78</v>
      </c>
    </row>
    <row r="418" spans="1:5" x14ac:dyDescent="0.3">
      <c r="A418">
        <v>24001</v>
      </c>
      <c r="B418">
        <v>14782.209999999908</v>
      </c>
      <c r="C418" s="12">
        <f t="shared" si="7"/>
        <v>15400.000000000075</v>
      </c>
      <c r="D418" s="13">
        <v>47.78</v>
      </c>
    </row>
    <row r="419" spans="1:5" x14ac:dyDescent="0.3">
      <c r="A419">
        <v>24101</v>
      </c>
      <c r="B419">
        <v>14827.929999999908</v>
      </c>
      <c r="C419" s="12">
        <f t="shared" si="7"/>
        <v>15447.780000000075</v>
      </c>
      <c r="D419" s="13">
        <v>47.78</v>
      </c>
    </row>
    <row r="420" spans="1:5" x14ac:dyDescent="0.3">
      <c r="A420">
        <v>24201</v>
      </c>
      <c r="B420">
        <v>14873.649999999907</v>
      </c>
      <c r="C420" s="12">
        <f t="shared" si="7"/>
        <v>15495.560000000076</v>
      </c>
      <c r="D420" s="13">
        <v>47.78</v>
      </c>
    </row>
    <row r="421" spans="1:5" x14ac:dyDescent="0.3">
      <c r="A421">
        <v>24301</v>
      </c>
      <c r="B421">
        <v>14919.369999999906</v>
      </c>
      <c r="C421" s="12">
        <f t="shared" si="7"/>
        <v>15543.340000000077</v>
      </c>
      <c r="D421" s="13">
        <v>47.78</v>
      </c>
    </row>
    <row r="422" spans="1:5" x14ac:dyDescent="0.3">
      <c r="A422">
        <v>24401</v>
      </c>
      <c r="B422">
        <v>14965.089999999906</v>
      </c>
      <c r="C422" s="12">
        <f t="shared" si="7"/>
        <v>15591.120000000077</v>
      </c>
      <c r="D422" s="13">
        <v>47.78</v>
      </c>
    </row>
    <row r="423" spans="1:5" x14ac:dyDescent="0.3">
      <c r="A423">
        <v>24501</v>
      </c>
      <c r="B423">
        <v>15010.809999999905</v>
      </c>
      <c r="C423" s="12">
        <f t="shared" si="7"/>
        <v>15638.900000000078</v>
      </c>
      <c r="D423" s="13">
        <v>47.78</v>
      </c>
    </row>
    <row r="424" spans="1:5" x14ac:dyDescent="0.3">
      <c r="A424">
        <v>24601</v>
      </c>
      <c r="B424">
        <v>15056.529999999904</v>
      </c>
      <c r="C424" s="12">
        <f t="shared" si="7"/>
        <v>15686.680000000079</v>
      </c>
      <c r="D424" s="13">
        <v>47.78</v>
      </c>
    </row>
    <row r="425" spans="1:5" x14ac:dyDescent="0.3">
      <c r="A425">
        <v>24701</v>
      </c>
      <c r="B425">
        <v>15102.249999999904</v>
      </c>
      <c r="C425" s="12">
        <f t="shared" si="7"/>
        <v>15734.460000000079</v>
      </c>
      <c r="D425" s="13">
        <v>47.78</v>
      </c>
    </row>
    <row r="426" spans="1:5" x14ac:dyDescent="0.3">
      <c r="A426">
        <v>24801</v>
      </c>
      <c r="B426">
        <v>15147.969999999903</v>
      </c>
      <c r="C426" s="12">
        <f t="shared" si="7"/>
        <v>15782.24000000008</v>
      </c>
      <c r="D426" s="13">
        <v>47.78</v>
      </c>
    </row>
    <row r="427" spans="1:5" x14ac:dyDescent="0.3">
      <c r="A427">
        <v>24901</v>
      </c>
      <c r="B427">
        <v>15193.689999999902</v>
      </c>
      <c r="C427" s="12">
        <f t="shared" si="7"/>
        <v>15830.02000000008</v>
      </c>
      <c r="D427" s="13">
        <v>47.78</v>
      </c>
    </row>
    <row r="428" spans="1:5" s="8" customFormat="1" x14ac:dyDescent="0.3">
      <c r="A428" s="8">
        <v>25001</v>
      </c>
      <c r="B428" s="8">
        <v>15340.42</v>
      </c>
      <c r="C428" s="12">
        <f t="shared" si="7"/>
        <v>15889.50000000008</v>
      </c>
      <c r="D428" s="13">
        <f>15889.5-15830.02</f>
        <v>59.479999999999563</v>
      </c>
      <c r="E428" s="56"/>
    </row>
    <row r="429" spans="1:5" x14ac:dyDescent="0.3">
      <c r="A429">
        <v>26001</v>
      </c>
      <c r="B429">
        <v>15475.58</v>
      </c>
      <c r="C429" s="12">
        <f t="shared" si="7"/>
        <v>16030.74000000008</v>
      </c>
      <c r="D429" s="13">
        <v>141.24</v>
      </c>
    </row>
    <row r="430" spans="1:5" x14ac:dyDescent="0.3">
      <c r="A430">
        <v>27001</v>
      </c>
      <c r="B430">
        <v>15610.74</v>
      </c>
      <c r="C430" s="12">
        <f t="shared" si="7"/>
        <v>16171.98000000008</v>
      </c>
      <c r="D430" s="13">
        <v>141.24</v>
      </c>
    </row>
    <row r="431" spans="1:5" x14ac:dyDescent="0.3">
      <c r="A431">
        <v>28001</v>
      </c>
      <c r="B431">
        <v>15745.9</v>
      </c>
      <c r="C431" s="12">
        <f t="shared" si="7"/>
        <v>16313.220000000079</v>
      </c>
      <c r="D431" s="13">
        <v>141.24</v>
      </c>
    </row>
    <row r="432" spans="1:5" x14ac:dyDescent="0.3">
      <c r="A432">
        <v>29001</v>
      </c>
      <c r="B432">
        <v>15881.06</v>
      </c>
      <c r="C432" s="12">
        <f t="shared" si="7"/>
        <v>16454.460000000079</v>
      </c>
      <c r="D432" s="13">
        <v>141.24</v>
      </c>
    </row>
    <row r="433" spans="1:4" x14ac:dyDescent="0.3">
      <c r="A433">
        <v>30001</v>
      </c>
      <c r="B433">
        <v>16016.22</v>
      </c>
      <c r="C433" s="12">
        <f t="shared" si="7"/>
        <v>16595.700000000081</v>
      </c>
      <c r="D433" s="13">
        <v>141.24</v>
      </c>
    </row>
    <row r="434" spans="1:4" x14ac:dyDescent="0.3">
      <c r="A434">
        <v>31001</v>
      </c>
      <c r="B434">
        <v>16151.38</v>
      </c>
      <c r="C434" s="12">
        <f t="shared" si="7"/>
        <v>16736.940000000082</v>
      </c>
      <c r="D434" s="13">
        <v>141.24</v>
      </c>
    </row>
    <row r="435" spans="1:4" x14ac:dyDescent="0.3">
      <c r="A435">
        <v>32001</v>
      </c>
      <c r="B435">
        <v>16286.539999999999</v>
      </c>
      <c r="C435" s="12">
        <f t="shared" si="7"/>
        <v>16878.180000000084</v>
      </c>
      <c r="D435" s="13">
        <v>141.24</v>
      </c>
    </row>
    <row r="436" spans="1:4" x14ac:dyDescent="0.3">
      <c r="A436">
        <v>33001</v>
      </c>
      <c r="B436">
        <v>16421.7</v>
      </c>
      <c r="C436" s="12">
        <f t="shared" si="7"/>
        <v>17019.420000000086</v>
      </c>
      <c r="D436" s="13">
        <v>141.24</v>
      </c>
    </row>
    <row r="437" spans="1:4" x14ac:dyDescent="0.3">
      <c r="A437">
        <v>34001</v>
      </c>
      <c r="B437">
        <v>16556.86</v>
      </c>
      <c r="C437" s="12">
        <f t="shared" si="7"/>
        <v>17160.660000000087</v>
      </c>
      <c r="D437" s="13">
        <v>141.24</v>
      </c>
    </row>
    <row r="438" spans="1:4" x14ac:dyDescent="0.3">
      <c r="A438">
        <v>35001</v>
      </c>
      <c r="B438">
        <v>16692.02</v>
      </c>
      <c r="C438" s="12">
        <f t="shared" si="7"/>
        <v>17301.900000000089</v>
      </c>
      <c r="D438" s="13">
        <v>141.24</v>
      </c>
    </row>
    <row r="439" spans="1:4" x14ac:dyDescent="0.3">
      <c r="A439">
        <v>36001</v>
      </c>
      <c r="B439">
        <v>16827.18</v>
      </c>
      <c r="C439" s="12">
        <f t="shared" si="7"/>
        <v>17443.14000000009</v>
      </c>
      <c r="D439" s="13">
        <v>141.24</v>
      </c>
    </row>
    <row r="440" spans="1:4" x14ac:dyDescent="0.3">
      <c r="A440">
        <v>37001</v>
      </c>
      <c r="B440">
        <v>16962.34</v>
      </c>
      <c r="C440" s="12">
        <f t="shared" si="7"/>
        <v>17584.380000000092</v>
      </c>
      <c r="D440" s="13">
        <v>141.24</v>
      </c>
    </row>
    <row r="441" spans="1:4" x14ac:dyDescent="0.3">
      <c r="A441">
        <v>38001</v>
      </c>
      <c r="B441">
        <v>17097.5</v>
      </c>
      <c r="C441" s="12">
        <f t="shared" si="7"/>
        <v>17725.620000000094</v>
      </c>
      <c r="D441" s="13">
        <v>141.24</v>
      </c>
    </row>
    <row r="442" spans="1:4" x14ac:dyDescent="0.3">
      <c r="A442">
        <v>39001</v>
      </c>
      <c r="B442">
        <v>17232.66</v>
      </c>
      <c r="C442" s="12">
        <f t="shared" si="7"/>
        <v>17866.860000000095</v>
      </c>
      <c r="D442" s="13">
        <v>141.24</v>
      </c>
    </row>
    <row r="443" spans="1:4" x14ac:dyDescent="0.3">
      <c r="A443">
        <v>40001</v>
      </c>
      <c r="B443">
        <v>17367.82</v>
      </c>
      <c r="C443" s="12">
        <f t="shared" si="7"/>
        <v>18008.100000000097</v>
      </c>
      <c r="D443" s="13">
        <v>141.24</v>
      </c>
    </row>
    <row r="444" spans="1:4" x14ac:dyDescent="0.3">
      <c r="A444">
        <v>41001</v>
      </c>
      <c r="B444">
        <v>17502.98</v>
      </c>
      <c r="C444" s="12">
        <f t="shared" si="7"/>
        <v>18149.340000000098</v>
      </c>
      <c r="D444" s="13">
        <v>141.24</v>
      </c>
    </row>
    <row r="445" spans="1:4" x14ac:dyDescent="0.3">
      <c r="A445">
        <v>42001</v>
      </c>
      <c r="B445">
        <v>17638.14</v>
      </c>
      <c r="C445" s="12">
        <f t="shared" ref="C445:C503" si="8">(D445)+C444</f>
        <v>18290.5800000001</v>
      </c>
      <c r="D445" s="13">
        <v>141.24</v>
      </c>
    </row>
    <row r="446" spans="1:4" x14ac:dyDescent="0.3">
      <c r="A446">
        <v>43001</v>
      </c>
      <c r="B446">
        <v>17773.3</v>
      </c>
      <c r="C446" s="12">
        <f t="shared" si="8"/>
        <v>18431.820000000102</v>
      </c>
      <c r="D446" s="13">
        <v>141.24</v>
      </c>
    </row>
    <row r="447" spans="1:4" x14ac:dyDescent="0.3">
      <c r="A447">
        <v>44001</v>
      </c>
      <c r="B447">
        <v>17908.46</v>
      </c>
      <c r="C447" s="12">
        <f t="shared" si="8"/>
        <v>18573.060000000103</v>
      </c>
      <c r="D447" s="13">
        <v>141.24</v>
      </c>
    </row>
    <row r="448" spans="1:4" x14ac:dyDescent="0.3">
      <c r="A448">
        <v>45001</v>
      </c>
      <c r="B448">
        <v>18043.62</v>
      </c>
      <c r="C448" s="12">
        <f t="shared" si="8"/>
        <v>18714.300000000105</v>
      </c>
      <c r="D448" s="13">
        <v>141.24</v>
      </c>
    </row>
    <row r="449" spans="1:4" x14ac:dyDescent="0.3">
      <c r="A449">
        <v>46001</v>
      </c>
      <c r="B449">
        <v>18178.78</v>
      </c>
      <c r="C449" s="12">
        <f t="shared" si="8"/>
        <v>18855.540000000106</v>
      </c>
      <c r="D449" s="13">
        <v>141.24</v>
      </c>
    </row>
    <row r="450" spans="1:4" x14ac:dyDescent="0.3">
      <c r="A450">
        <v>47001</v>
      </c>
      <c r="B450">
        <v>18313.939999999999</v>
      </c>
      <c r="C450" s="12">
        <f t="shared" si="8"/>
        <v>18996.780000000108</v>
      </c>
      <c r="D450" s="13">
        <v>141.24</v>
      </c>
    </row>
    <row r="451" spans="1:4" x14ac:dyDescent="0.3">
      <c r="A451">
        <v>48001</v>
      </c>
      <c r="B451">
        <v>18449.099999999999</v>
      </c>
      <c r="C451" s="12">
        <f t="shared" si="8"/>
        <v>19138.02000000011</v>
      </c>
      <c r="D451" s="13">
        <v>141.24</v>
      </c>
    </row>
    <row r="452" spans="1:4" x14ac:dyDescent="0.3">
      <c r="A452">
        <v>49001</v>
      </c>
      <c r="B452">
        <v>18584.259999999998</v>
      </c>
      <c r="C452" s="12">
        <f t="shared" si="8"/>
        <v>19279.260000000111</v>
      </c>
      <c r="D452" s="13">
        <v>141.24</v>
      </c>
    </row>
    <row r="453" spans="1:4" x14ac:dyDescent="0.3">
      <c r="A453">
        <v>50001</v>
      </c>
      <c r="B453">
        <v>18719.419999999998</v>
      </c>
      <c r="C453" s="12">
        <f t="shared" si="8"/>
        <v>19420.500000000113</v>
      </c>
      <c r="D453" s="13">
        <v>141.24</v>
      </c>
    </row>
    <row r="454" spans="1:4" x14ac:dyDescent="0.3">
      <c r="A454">
        <v>51001</v>
      </c>
      <c r="B454">
        <v>18854.579999999998</v>
      </c>
      <c r="C454" s="12">
        <f t="shared" si="8"/>
        <v>19561.740000000114</v>
      </c>
      <c r="D454" s="13">
        <v>141.24</v>
      </c>
    </row>
    <row r="455" spans="1:4" x14ac:dyDescent="0.3">
      <c r="A455">
        <v>52001</v>
      </c>
      <c r="B455">
        <v>18989.739999999998</v>
      </c>
      <c r="C455" s="12">
        <f t="shared" si="8"/>
        <v>19702.980000000116</v>
      </c>
      <c r="D455" s="13">
        <v>141.24</v>
      </c>
    </row>
    <row r="456" spans="1:4" x14ac:dyDescent="0.3">
      <c r="A456">
        <v>53001</v>
      </c>
      <c r="B456">
        <v>19124.899999999998</v>
      </c>
      <c r="C456" s="12">
        <f t="shared" si="8"/>
        <v>19844.220000000118</v>
      </c>
      <c r="D456" s="13">
        <v>141.24</v>
      </c>
    </row>
    <row r="457" spans="1:4" x14ac:dyDescent="0.3">
      <c r="A457">
        <v>54001</v>
      </c>
      <c r="B457">
        <v>19260.059999999998</v>
      </c>
      <c r="C457" s="12">
        <f t="shared" si="8"/>
        <v>19985.460000000119</v>
      </c>
      <c r="D457" s="13">
        <v>141.24</v>
      </c>
    </row>
    <row r="458" spans="1:4" x14ac:dyDescent="0.3">
      <c r="A458">
        <v>55001</v>
      </c>
      <c r="B458">
        <v>19395.219999999998</v>
      </c>
      <c r="C458" s="12">
        <f t="shared" si="8"/>
        <v>20126.700000000121</v>
      </c>
      <c r="D458" s="13">
        <v>141.24</v>
      </c>
    </row>
    <row r="459" spans="1:4" x14ac:dyDescent="0.3">
      <c r="A459">
        <v>56001</v>
      </c>
      <c r="B459">
        <v>19530.379999999997</v>
      </c>
      <c r="C459" s="12">
        <f t="shared" si="8"/>
        <v>20267.940000000122</v>
      </c>
      <c r="D459" s="13">
        <v>141.24</v>
      </c>
    </row>
    <row r="460" spans="1:4" x14ac:dyDescent="0.3">
      <c r="A460">
        <v>57001</v>
      </c>
      <c r="B460">
        <v>19665.539999999997</v>
      </c>
      <c r="C460" s="12">
        <f t="shared" si="8"/>
        <v>20409.180000000124</v>
      </c>
      <c r="D460" s="13">
        <v>141.24</v>
      </c>
    </row>
    <row r="461" spans="1:4" x14ac:dyDescent="0.3">
      <c r="A461">
        <v>58001</v>
      </c>
      <c r="B461">
        <v>19800.699999999997</v>
      </c>
      <c r="C461" s="12">
        <f t="shared" si="8"/>
        <v>20550.420000000126</v>
      </c>
      <c r="D461" s="13">
        <v>141.24</v>
      </c>
    </row>
    <row r="462" spans="1:4" x14ac:dyDescent="0.3">
      <c r="A462">
        <v>59001</v>
      </c>
      <c r="B462">
        <v>19935.859999999997</v>
      </c>
      <c r="C462" s="12">
        <f t="shared" si="8"/>
        <v>20691.660000000127</v>
      </c>
      <c r="D462" s="13">
        <v>141.24</v>
      </c>
    </row>
    <row r="463" spans="1:4" x14ac:dyDescent="0.3">
      <c r="A463">
        <v>60001</v>
      </c>
      <c r="B463">
        <v>20071.019999999997</v>
      </c>
      <c r="C463" s="12">
        <f t="shared" si="8"/>
        <v>20832.900000000129</v>
      </c>
      <c r="D463" s="13">
        <v>141.24</v>
      </c>
    </row>
    <row r="464" spans="1:4" x14ac:dyDescent="0.3">
      <c r="A464">
        <v>61001</v>
      </c>
      <c r="B464">
        <v>20206.179999999997</v>
      </c>
      <c r="C464" s="12">
        <f t="shared" si="8"/>
        <v>20974.14000000013</v>
      </c>
      <c r="D464" s="13">
        <v>141.24</v>
      </c>
    </row>
    <row r="465" spans="1:4" x14ac:dyDescent="0.3">
      <c r="A465">
        <v>62001</v>
      </c>
      <c r="B465">
        <v>20341.339999999997</v>
      </c>
      <c r="C465" s="12">
        <f t="shared" si="8"/>
        <v>21115.380000000132</v>
      </c>
      <c r="D465" s="13">
        <v>141.24</v>
      </c>
    </row>
    <row r="466" spans="1:4" x14ac:dyDescent="0.3">
      <c r="A466">
        <v>63001</v>
      </c>
      <c r="B466">
        <v>20476.499999999996</v>
      </c>
      <c r="C466" s="12">
        <f t="shared" si="8"/>
        <v>21256.620000000134</v>
      </c>
      <c r="D466" s="13">
        <v>141.24</v>
      </c>
    </row>
    <row r="467" spans="1:4" x14ac:dyDescent="0.3">
      <c r="A467">
        <v>64001</v>
      </c>
      <c r="B467">
        <v>20611.659999999996</v>
      </c>
      <c r="C467" s="12">
        <f t="shared" si="8"/>
        <v>21397.860000000135</v>
      </c>
      <c r="D467" s="13">
        <v>141.24</v>
      </c>
    </row>
    <row r="468" spans="1:4" x14ac:dyDescent="0.3">
      <c r="A468">
        <v>65001</v>
      </c>
      <c r="B468">
        <v>20746.819999999996</v>
      </c>
      <c r="C468" s="12">
        <f t="shared" si="8"/>
        <v>21539.100000000137</v>
      </c>
      <c r="D468" s="13">
        <v>141.24</v>
      </c>
    </row>
    <row r="469" spans="1:4" x14ac:dyDescent="0.3">
      <c r="A469">
        <v>66001</v>
      </c>
      <c r="B469">
        <v>20881.979999999996</v>
      </c>
      <c r="C469" s="12">
        <f t="shared" si="8"/>
        <v>21680.340000000138</v>
      </c>
      <c r="D469" s="13">
        <v>141.24</v>
      </c>
    </row>
    <row r="470" spans="1:4" x14ac:dyDescent="0.3">
      <c r="A470">
        <v>67001</v>
      </c>
      <c r="B470">
        <v>21017.139999999996</v>
      </c>
      <c r="C470" s="12">
        <f t="shared" si="8"/>
        <v>21821.58000000014</v>
      </c>
      <c r="D470" s="13">
        <v>141.24</v>
      </c>
    </row>
    <row r="471" spans="1:4" x14ac:dyDescent="0.3">
      <c r="A471">
        <v>68001</v>
      </c>
      <c r="B471">
        <v>21152.299999999996</v>
      </c>
      <c r="C471" s="12">
        <f t="shared" si="8"/>
        <v>21962.820000000142</v>
      </c>
      <c r="D471" s="13">
        <v>141.24</v>
      </c>
    </row>
    <row r="472" spans="1:4" x14ac:dyDescent="0.3">
      <c r="A472">
        <v>69001</v>
      </c>
      <c r="B472">
        <v>21287.459999999995</v>
      </c>
      <c r="C472" s="12">
        <f t="shared" si="8"/>
        <v>22104.060000000143</v>
      </c>
      <c r="D472" s="13">
        <v>141.24</v>
      </c>
    </row>
    <row r="473" spans="1:4" x14ac:dyDescent="0.3">
      <c r="A473">
        <v>70001</v>
      </c>
      <c r="B473">
        <v>21422.619999999995</v>
      </c>
      <c r="C473" s="12">
        <f t="shared" si="8"/>
        <v>22245.300000000145</v>
      </c>
      <c r="D473" s="13">
        <v>141.24</v>
      </c>
    </row>
    <row r="474" spans="1:4" x14ac:dyDescent="0.3">
      <c r="A474">
        <v>71001</v>
      </c>
      <c r="B474">
        <v>21557.779999999995</v>
      </c>
      <c r="C474" s="12">
        <f t="shared" si="8"/>
        <v>22386.540000000146</v>
      </c>
      <c r="D474" s="13">
        <v>141.24</v>
      </c>
    </row>
    <row r="475" spans="1:4" x14ac:dyDescent="0.3">
      <c r="A475">
        <v>72001</v>
      </c>
      <c r="B475">
        <v>21692.939999999995</v>
      </c>
      <c r="C475" s="12">
        <f t="shared" si="8"/>
        <v>22527.780000000148</v>
      </c>
      <c r="D475" s="13">
        <v>141.24</v>
      </c>
    </row>
    <row r="476" spans="1:4" x14ac:dyDescent="0.3">
      <c r="A476">
        <v>73001</v>
      </c>
      <c r="B476">
        <v>21828.099999999995</v>
      </c>
      <c r="C476" s="12">
        <f t="shared" si="8"/>
        <v>22669.02000000015</v>
      </c>
      <c r="D476" s="13">
        <v>141.24</v>
      </c>
    </row>
    <row r="477" spans="1:4" x14ac:dyDescent="0.3">
      <c r="A477">
        <v>74001</v>
      </c>
      <c r="B477">
        <v>21963.259999999995</v>
      </c>
      <c r="C477" s="12">
        <f t="shared" si="8"/>
        <v>22810.260000000151</v>
      </c>
      <c r="D477" s="13">
        <v>141.24</v>
      </c>
    </row>
    <row r="478" spans="1:4" x14ac:dyDescent="0.3">
      <c r="A478">
        <v>75001</v>
      </c>
      <c r="B478">
        <v>22098.419999999995</v>
      </c>
      <c r="C478" s="12">
        <f t="shared" si="8"/>
        <v>22951.500000000153</v>
      </c>
      <c r="D478" s="13">
        <v>141.24</v>
      </c>
    </row>
    <row r="479" spans="1:4" x14ac:dyDescent="0.3">
      <c r="A479">
        <v>76001</v>
      </c>
      <c r="B479">
        <v>22233.579999999994</v>
      </c>
      <c r="C479" s="12">
        <f t="shared" si="8"/>
        <v>23092.740000000154</v>
      </c>
      <c r="D479" s="13">
        <v>141.24</v>
      </c>
    </row>
    <row r="480" spans="1:4" x14ac:dyDescent="0.3">
      <c r="A480">
        <v>77001</v>
      </c>
      <c r="B480">
        <v>22368.739999999994</v>
      </c>
      <c r="C480" s="12">
        <f t="shared" si="8"/>
        <v>23233.980000000156</v>
      </c>
      <c r="D480" s="13">
        <v>141.24</v>
      </c>
    </row>
    <row r="481" spans="1:4" x14ac:dyDescent="0.3">
      <c r="A481">
        <v>78001</v>
      </c>
      <c r="B481">
        <v>22503.899999999994</v>
      </c>
      <c r="C481" s="12">
        <f t="shared" si="8"/>
        <v>23375.220000000158</v>
      </c>
      <c r="D481" s="13">
        <v>141.24</v>
      </c>
    </row>
    <row r="482" spans="1:4" x14ac:dyDescent="0.3">
      <c r="A482">
        <v>79001</v>
      </c>
      <c r="B482">
        <v>22639.059999999994</v>
      </c>
      <c r="C482" s="12">
        <f t="shared" si="8"/>
        <v>23516.460000000159</v>
      </c>
      <c r="D482" s="13">
        <v>141.24</v>
      </c>
    </row>
    <row r="483" spans="1:4" x14ac:dyDescent="0.3">
      <c r="A483">
        <v>80001</v>
      </c>
      <c r="B483">
        <v>22774.219999999994</v>
      </c>
      <c r="C483" s="12">
        <f t="shared" si="8"/>
        <v>23657.700000000161</v>
      </c>
      <c r="D483" s="13">
        <v>141.24</v>
      </c>
    </row>
    <row r="484" spans="1:4" x14ac:dyDescent="0.3">
      <c r="A484">
        <v>81001</v>
      </c>
      <c r="B484">
        <v>22909.379999999994</v>
      </c>
      <c r="C484" s="12">
        <f t="shared" si="8"/>
        <v>23798.940000000162</v>
      </c>
      <c r="D484" s="13">
        <v>141.24</v>
      </c>
    </row>
    <row r="485" spans="1:4" x14ac:dyDescent="0.3">
      <c r="A485">
        <v>82001</v>
      </c>
      <c r="B485">
        <v>23044.539999999994</v>
      </c>
      <c r="C485" s="12">
        <f t="shared" si="8"/>
        <v>23940.180000000164</v>
      </c>
      <c r="D485" s="13">
        <v>141.24</v>
      </c>
    </row>
    <row r="486" spans="1:4" x14ac:dyDescent="0.3">
      <c r="A486">
        <v>83001</v>
      </c>
      <c r="B486">
        <v>23179.699999999993</v>
      </c>
      <c r="C486" s="12">
        <f t="shared" si="8"/>
        <v>24081.420000000166</v>
      </c>
      <c r="D486" s="13">
        <v>141.24</v>
      </c>
    </row>
    <row r="487" spans="1:4" x14ac:dyDescent="0.3">
      <c r="A487">
        <v>84001</v>
      </c>
      <c r="B487">
        <v>23314.859999999993</v>
      </c>
      <c r="C487" s="12">
        <f t="shared" si="8"/>
        <v>24222.660000000167</v>
      </c>
      <c r="D487" s="13">
        <v>141.24</v>
      </c>
    </row>
    <row r="488" spans="1:4" x14ac:dyDescent="0.3">
      <c r="A488">
        <v>85001</v>
      </c>
      <c r="B488">
        <v>23450.019999999993</v>
      </c>
      <c r="C488" s="12">
        <f t="shared" si="8"/>
        <v>24363.900000000169</v>
      </c>
      <c r="D488" s="13">
        <v>141.24</v>
      </c>
    </row>
    <row r="489" spans="1:4" x14ac:dyDescent="0.3">
      <c r="A489">
        <v>86001</v>
      </c>
      <c r="B489">
        <v>23585.179999999993</v>
      </c>
      <c r="C489" s="12">
        <f t="shared" si="8"/>
        <v>24505.14000000017</v>
      </c>
      <c r="D489" s="13">
        <v>141.24</v>
      </c>
    </row>
    <row r="490" spans="1:4" x14ac:dyDescent="0.3">
      <c r="A490">
        <v>87001</v>
      </c>
      <c r="B490">
        <v>23720.339999999993</v>
      </c>
      <c r="C490" s="12">
        <f t="shared" si="8"/>
        <v>24646.380000000172</v>
      </c>
      <c r="D490" s="13">
        <v>141.24</v>
      </c>
    </row>
    <row r="491" spans="1:4" x14ac:dyDescent="0.3">
      <c r="A491">
        <v>88001</v>
      </c>
      <c r="B491">
        <v>23855.499999999993</v>
      </c>
      <c r="C491" s="12">
        <f t="shared" si="8"/>
        <v>24787.620000000174</v>
      </c>
      <c r="D491" s="13">
        <v>141.24</v>
      </c>
    </row>
    <row r="492" spans="1:4" x14ac:dyDescent="0.3">
      <c r="A492">
        <v>89001</v>
      </c>
      <c r="B492">
        <v>23990.659999999993</v>
      </c>
      <c r="C492" s="12">
        <f t="shared" si="8"/>
        <v>24928.860000000175</v>
      </c>
      <c r="D492" s="13">
        <v>141.24</v>
      </c>
    </row>
    <row r="493" spans="1:4" x14ac:dyDescent="0.3">
      <c r="A493">
        <v>90001</v>
      </c>
      <c r="B493">
        <v>24125.819999999992</v>
      </c>
      <c r="C493" s="12">
        <f t="shared" si="8"/>
        <v>25070.100000000177</v>
      </c>
      <c r="D493" s="13">
        <v>141.24</v>
      </c>
    </row>
    <row r="494" spans="1:4" x14ac:dyDescent="0.3">
      <c r="A494">
        <v>91001</v>
      </c>
      <c r="B494">
        <v>24260.979999999992</v>
      </c>
      <c r="C494" s="12">
        <f t="shared" si="8"/>
        <v>25211.340000000178</v>
      </c>
      <c r="D494" s="13">
        <v>141.24</v>
      </c>
    </row>
    <row r="495" spans="1:4" x14ac:dyDescent="0.3">
      <c r="A495">
        <v>92001</v>
      </c>
      <c r="B495">
        <v>24396.139999999992</v>
      </c>
      <c r="C495" s="12">
        <f t="shared" si="8"/>
        <v>25352.58000000018</v>
      </c>
      <c r="D495" s="13">
        <v>141.24</v>
      </c>
    </row>
    <row r="496" spans="1:4" x14ac:dyDescent="0.3">
      <c r="A496">
        <v>93001</v>
      </c>
      <c r="B496">
        <v>24531.299999999992</v>
      </c>
      <c r="C496" s="12">
        <f t="shared" si="8"/>
        <v>25493.820000000182</v>
      </c>
      <c r="D496" s="13">
        <v>141.24</v>
      </c>
    </row>
    <row r="497" spans="1:4" x14ac:dyDescent="0.3">
      <c r="A497">
        <v>94001</v>
      </c>
      <c r="B497">
        <v>24666.459999999992</v>
      </c>
      <c r="C497" s="12">
        <f t="shared" si="8"/>
        <v>25635.060000000183</v>
      </c>
      <c r="D497" s="13">
        <v>141.24</v>
      </c>
    </row>
    <row r="498" spans="1:4" x14ac:dyDescent="0.3">
      <c r="A498">
        <v>95001</v>
      </c>
      <c r="B498">
        <v>24801.619999999992</v>
      </c>
      <c r="C498" s="12">
        <f t="shared" si="8"/>
        <v>25776.300000000185</v>
      </c>
      <c r="D498" s="13">
        <v>141.24</v>
      </c>
    </row>
    <row r="499" spans="1:4" x14ac:dyDescent="0.3">
      <c r="A499">
        <v>96001</v>
      </c>
      <c r="B499">
        <v>24936.779999999992</v>
      </c>
      <c r="C499" s="12">
        <f t="shared" si="8"/>
        <v>25917.540000000186</v>
      </c>
      <c r="D499" s="13">
        <v>141.24</v>
      </c>
    </row>
    <row r="500" spans="1:4" x14ac:dyDescent="0.3">
      <c r="A500">
        <v>97001</v>
      </c>
      <c r="B500">
        <v>25071.939999999991</v>
      </c>
      <c r="C500" s="12">
        <f t="shared" si="8"/>
        <v>26058.780000000188</v>
      </c>
      <c r="D500" s="13">
        <v>141.24</v>
      </c>
    </row>
    <row r="501" spans="1:4" x14ac:dyDescent="0.3">
      <c r="A501">
        <v>98001</v>
      </c>
      <c r="B501">
        <v>25207.099999999991</v>
      </c>
      <c r="C501" s="12">
        <f t="shared" si="8"/>
        <v>26200.02000000019</v>
      </c>
      <c r="D501" s="13">
        <v>141.24</v>
      </c>
    </row>
    <row r="502" spans="1:4" x14ac:dyDescent="0.3">
      <c r="A502">
        <v>99001</v>
      </c>
      <c r="B502">
        <v>25342.259999999991</v>
      </c>
      <c r="C502" s="12">
        <f t="shared" si="8"/>
        <v>26341.260000000191</v>
      </c>
      <c r="D502" s="13">
        <v>141.24</v>
      </c>
    </row>
    <row r="503" spans="1:4" x14ac:dyDescent="0.3">
      <c r="A503">
        <v>100001</v>
      </c>
      <c r="B503">
        <v>25477.419999999991</v>
      </c>
      <c r="C503" s="12">
        <f t="shared" si="8"/>
        <v>26482.500000000193</v>
      </c>
      <c r="D503" s="13">
        <v>141.24</v>
      </c>
    </row>
    <row r="504" spans="1:4" x14ac:dyDescent="0.3">
      <c r="C504"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0FFF9A64AF054D83EDE773F9FF9F60" ma:contentTypeVersion="19" ma:contentTypeDescription="Create a new document." ma:contentTypeScope="" ma:versionID="f18f30aaf9721504aacd23259706d364">
  <xsd:schema xmlns:xsd="http://www.w3.org/2001/XMLSchema" xmlns:xs="http://www.w3.org/2001/XMLSchema" xmlns:p="http://schemas.microsoft.com/office/2006/metadata/properties" xmlns:ns1="http://schemas.microsoft.com/sharepoint/v3" xmlns:ns2="1ec29b2c-27b0-4693-80ab-04ff024365c9" xmlns:ns3="7d68a6f5-e3bf-4830-84b6-dd17c48b4466" targetNamespace="http://schemas.microsoft.com/office/2006/metadata/properties" ma:root="true" ma:fieldsID="7c82df6f4e04f12da84b745c2313dac2" ns1:_="" ns2:_="" ns3:_="">
    <xsd:import namespace="http://schemas.microsoft.com/sharepoint/v3"/>
    <xsd:import namespace="1ec29b2c-27b0-4693-80ab-04ff024365c9"/>
    <xsd:import namespace="7d68a6f5-e3bf-4830-84b6-dd17c48b4466"/>
    <xsd:element name="properties">
      <xsd:complexType>
        <xsd:sequence>
          <xsd:element name="documentManagement">
            <xsd:complexType>
              <xsd:all>
                <xsd:element ref="ns2:Discription" minOccurs="0"/>
                <xsd:element ref="ns2:Docs_x0020_Category" minOccurs="0"/>
                <xsd:element ref="ns2:Financial_x0020_Year" minOccurs="0"/>
                <xsd:element ref="ns2:Year" minOccurs="0"/>
                <xsd:element ref="ns2:Active" minOccurs="0"/>
                <xsd:element ref="ns2:Original_x0020_Upload_x0020_date" minOccurs="0"/>
                <xsd:element ref="ns2:Originaly_x0020_Created_x0020_By" minOccurs="0"/>
                <xsd:element ref="ns2:Body" minOccurs="0"/>
                <xsd:element ref="ns2:Commentary" minOccurs="0"/>
                <xsd:element ref="ns3:SharedWithUsers" minOccurs="0"/>
                <xsd:element ref="ns3:SharedWithDetails" minOccurs="0"/>
                <xsd:element ref="ns2:Archive" minOccurs="0"/>
                <xsd:element ref="ns2:SystemCategory" minOccurs="0"/>
                <xsd:element ref="ns2:SortB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c29b2c-27b0-4693-80ab-04ff024365c9" elementFormDefault="qualified">
    <xsd:import namespace="http://schemas.microsoft.com/office/2006/documentManagement/types"/>
    <xsd:import namespace="http://schemas.microsoft.com/office/infopath/2007/PartnerControls"/>
    <xsd:element name="Discription" ma:index="8" nillable="true" ma:displayName="Description" ma:indexed="true" ma:internalName="Discription">
      <xsd:simpleType>
        <xsd:restriction base="dms:Text">
          <xsd:maxLength value="255"/>
        </xsd:restriction>
      </xsd:simpleType>
    </xsd:element>
    <xsd:element name="Docs_x0020_Category" ma:index="9" nillable="true" ma:displayName="Docs Category" ma:format="Dropdown" ma:indexed="true" ma:internalName="Docs_x0020_Category">
      <xsd:simpleType>
        <xsd:union memberTypes="dms:Text">
          <xsd:simpleType>
            <xsd:restriction base="dms:Choice">
              <xsd:enumeration value="1 archived"/>
              <xsd:enumeration value="Acts and Bylaws"/>
              <xsd:enumeration value="Annual Performance Report(MSAS46)"/>
              <xsd:enumeration value="Annual Report"/>
              <xsd:enumeration value="B Ctrl"/>
              <xsd:enumeration value="Budget"/>
              <xsd:enumeration value="Building Control"/>
              <xsd:enumeration value="Community Development"/>
              <xsd:enumeration value="Community Services"/>
              <xsd:enumeration value="Consolidated Annual Municipal Performance"/>
              <xsd:enumeration value="Corporate Services"/>
              <xsd:enumeration value="Council Minutes"/>
              <xsd:enumeration value="Council Notices"/>
              <xsd:enumeration value="Councillors"/>
              <xsd:enumeration value="DM logo"/>
              <xsd:enumeration value="docs 1side"/>
              <xsd:enumeration value="docs 2018-2019"/>
              <xsd:enumeration value="docs archived"/>
              <xsd:enumeration value="docs Council"/>
              <xsd:enumeration value="docs Elec"/>
              <xsd:enumeration value="docs ERF"/>
              <xsd:enumeration value="docs Fin Reporting"/>
              <xsd:enumeration value="docs Finance"/>
              <xsd:enumeration value="docs HR Training Dep"/>
              <xsd:enumeration value="docs IIGR"/>
              <xsd:enumeration value="docs Notices"/>
              <xsd:enumeration value="docs PMNR"/>
              <xsd:enumeration value="docs PMS"/>
              <xsd:enumeration value="docs Q Constr"/>
              <xsd:enumeration value="docs Q Gds"/>
              <xsd:enumeration value="docs Q Serv"/>
              <xsd:enumeration value="docs Quotes"/>
              <xsd:enumeration value="docs Quotes Goods"/>
              <xsd:enumeration value="docs Quotes Services"/>
              <xsd:enumeration value="docs SCM"/>
              <xsd:enumeration value="docs Spatial Planning"/>
              <xsd:enumeration value="docs Tenders"/>
              <xsd:enumeration value="docs Tenders Amendment of Contracts"/>
              <xsd:enumeration value="docs Tenders Cancelled"/>
              <xsd:enumeration value="docs Tenders Received CES"/>
              <xsd:enumeration value="docs Tenders Received CG Corp"/>
              <xsd:enumeration value="docs Tenders Received CM"/>
              <xsd:enumeration value="docs Tenders Received COM"/>
              <xsd:enumeration value="docs Tenders Received COMP"/>
              <xsd:enumeration value="docs Tenders Received ELEC"/>
              <xsd:enumeration value="docs Tenders Received FSI"/>
              <xsd:enumeration value="docs Tenders Received HOUSING"/>
              <xsd:enumeration value="docs Tenders Received PLAN"/>
              <xsd:enumeration value="docs Tenders Received PROC"/>
              <xsd:enumeration value="docs Tenders Received TSPM"/>
              <xsd:enumeration value="docs Tenders Received PS"/>
              <xsd:enumeration value="Electricity"/>
              <xsd:enumeration value="Environmental Management"/>
              <xsd:enumeration value="Events Application"/>
              <xsd:enumeration value="External Newsletters"/>
              <xsd:enumeration value="Finance Loan Agreements"/>
              <xsd:enumeration value="Heritage Section"/>
              <xsd:enumeration value="Housing"/>
              <xsd:enumeration value="HR admin"/>
              <xsd:enumeration value="Human Settlements"/>
              <xsd:enumeration value="Integrated Development Plan (IDP)"/>
              <xsd:enumeration value="Investment Area Management"/>
              <xsd:enumeration value="Land Use Planning"/>
              <xsd:enumeration value="LED Local Economic Development"/>
              <xsd:enumeration value="Libraries"/>
              <xsd:enumeration value="Management"/>
              <xsd:enumeration value="Mayco Minutes"/>
              <xsd:enumeration value="Mid-Year Budget and Performance Assessment Report(MFMAS72)"/>
              <xsd:enumeration value="News"/>
              <xsd:enumeration value="Newsletters"/>
              <xsd:enumeration value="Newsletters External"/>
              <xsd:enumeration value="Notices"/>
              <xsd:enumeration value="Parks Sport and Cemeteries"/>
              <xsd:enumeration value="PBS Paarl Bird Sanctuary"/>
              <xsd:enumeration value="Performance Agreements"/>
              <xsd:enumeration value="Planning and Economic Development"/>
              <xsd:enumeration value="Planning Notifications - Application Notices"/>
              <xsd:enumeration value="Planning Notifications - Decision Notices"/>
              <xsd:enumeration value="Planning Notifications - General Notices"/>
              <xsd:enumeration value="Planning Notifications - Municipal Planning Tribunal"/>
              <xsd:enumeration value="Planning Notifications - Policies and Legislation"/>
              <xsd:enumeration value="PMS Performance Management System"/>
              <xsd:enumeration value="Policies"/>
              <xsd:enumeration value="Political Parties"/>
              <xsd:enumeration value="Pre Paid"/>
              <xsd:enumeration value="Press Release"/>
              <xsd:enumeration value="Public Liability Claims"/>
              <xsd:enumeration value="Quarterly Performance Report"/>
              <xsd:enumeration value="Quotes Awarded Construction"/>
              <xsd:enumeration value="Quotes Awarded Goods"/>
              <xsd:enumeration value="Quotes Awarded Services"/>
              <xsd:enumeration value="Quotes Cancelled"/>
              <xsd:enumeration value="Quotes Construction"/>
              <xsd:enumeration value="Quotes Goods"/>
              <xsd:enumeration value="Quotes Received"/>
              <xsd:enumeration value="Quotes Received Construction"/>
              <xsd:enumeration value="Quotes Received Goods"/>
              <xsd:enumeration value="Quotes Received Services"/>
              <xsd:enumeration value="Quotes Services"/>
              <xsd:enumeration value="Rural Developments"/>
              <xsd:enumeration value="Save Water"/>
              <xsd:enumeration value="SCF IAM"/>
              <xsd:enumeration value="SCM Admin"/>
              <xsd:enumeration value="SCM Annual and Quarterly reports"/>
              <xsd:enumeration value="SCM List of assets disposed"/>
              <xsd:enumeration value="SCM Notices"/>
              <xsd:enumeration value="SDBIP"/>
              <xsd:enumeration value="SDF Spatial Development Framework"/>
              <xsd:enumeration value="Solid Waste"/>
              <xsd:enumeration value="SoundBites"/>
              <xsd:enumeration value="Spatial Planning"/>
              <xsd:enumeration value="Supply Chain Management - Statutory Disclosures"/>
              <xsd:enumeration value="Tariffs"/>
              <xsd:enumeration value="Tenders Awarded"/>
              <xsd:enumeration value="Tenders Cancelled"/>
              <xsd:enumeration value="Tenders Construction"/>
              <xsd:enumeration value="Tenders Contracts Amended"/>
              <xsd:enumeration value="Tenders Goods"/>
              <xsd:enumeration value="Tenders Services"/>
              <xsd:enumeration value="Tourism"/>
              <xsd:enumeration value="Traffic Services"/>
              <xsd:enumeration value="Vacancies"/>
              <xsd:enumeration value="Valuation Roll"/>
              <xsd:enumeration value="Ward Maps"/>
              <xsd:enumeration value="Waste to Energy"/>
              <xsd:enumeration value="Waste2Energy"/>
            </xsd:restriction>
          </xsd:simpleType>
        </xsd:union>
      </xsd:simpleType>
    </xsd:element>
    <xsd:element name="Financial_x0020_Year" ma:index="10" nillable="true" ma:displayName="Financial Year" ma:format="Dropdown" ma:indexed="true" ma:internalName="Financial_x0020_Year">
      <xsd:simpleType>
        <xsd:restriction base="dms:Choice">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enumeration value="2016-2017"/>
          <xsd:enumeration value="2015-2016"/>
          <xsd:enumeration value="2014-2015"/>
          <xsd:enumeration value="2013-2014"/>
          <xsd:enumeration value="2012-2013"/>
          <xsd:enumeration value="2011-2012"/>
        </xsd:restriction>
      </xsd:simpleType>
    </xsd:element>
    <xsd:element name="Year" ma:index="11" nillable="true" ma:displayName="Year" ma:format="Dropdown" ma:indexed="true" ma:internalName="Year">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restriction>
      </xsd:simpleType>
    </xsd:element>
    <xsd:element name="Active" ma:index="12" nillable="true" ma:displayName="Active" ma:default="1" ma:indexed="true" ma:internalName="Active">
      <xsd:simpleType>
        <xsd:restriction base="dms:Boolean"/>
      </xsd:simpleType>
    </xsd:element>
    <xsd:element name="Original_x0020_Upload_x0020_date" ma:index="13" nillable="true" ma:displayName="Original Upload date" ma:default="[today]" ma:format="DateOnly" ma:indexed="true" ma:internalName="Original_x0020_Upload_x0020_date">
      <xsd:simpleType>
        <xsd:restriction base="dms:DateTime"/>
      </xsd:simpleType>
    </xsd:element>
    <xsd:element name="Originaly_x0020_Created_x0020_By" ma:index="14" nillable="true" ma:displayName="Originally Created By" ma:internalName="Originaly_x0020_Created_x0020_By">
      <xsd:simpleType>
        <xsd:restriction base="dms:Text">
          <xsd:maxLength value="55"/>
        </xsd:restriction>
      </xsd:simpleType>
    </xsd:element>
    <xsd:element name="Body" ma:index="15" nillable="true" ma:displayName="Body" ma:internalName="Body">
      <xsd:simpleType>
        <xsd:restriction base="dms:Text">
          <xsd:maxLength value="50"/>
        </xsd:restriction>
      </xsd:simpleType>
    </xsd:element>
    <xsd:element name="Commentary" ma:index="16" nillable="true" ma:displayName="Commentary" ma:internalName="Commentary">
      <xsd:simpleType>
        <xsd:restriction base="dms:Text">
          <xsd:maxLength value="255"/>
        </xsd:restriction>
      </xsd:simpleType>
    </xsd:element>
    <xsd:element name="Archive" ma:index="19" nillable="true" ma:displayName="Archive" ma:default="0" ma:internalName="Archive">
      <xsd:simpleType>
        <xsd:restriction base="dms:Boolean"/>
      </xsd:simpleType>
    </xsd:element>
    <xsd:element name="SystemCategory" ma:index="20" nillable="true" ma:displayName="SystemCategory" ma:default="Unassigned" ma:indexed="true" ma:internalName="SystemCategory">
      <xsd:simpleType>
        <xsd:restriction base="dms:Text">
          <xsd:maxLength value="255"/>
        </xsd:restriction>
      </xsd:simpleType>
    </xsd:element>
    <xsd:element name="SortBy" ma:index="21" nillable="true" ma:displayName="SortBy" ma:decimals="0" ma:internalName="SortBy">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d68a6f5-e3bf-4830-84b6-dd17c48b44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2E0FFF9A64AF054D83EDE773F9FF9F60|937198175" UniqueId="5090e337-c98e-4e28-8a3d-2e22c9d3da13">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s_x0020_Category xmlns="1ec29b2c-27b0-4693-80ab-04ff024365c9">Budget</Docs_x0020_Category>
    <Discription xmlns="1ec29b2c-27b0-4693-80ab-04ff024365c9">Drakenstein Municipality - Rates and Tariff Calculator_April 2026</Discription>
    <Archive xmlns="1ec29b2c-27b0-4693-80ab-04ff024365c9">false</Archive>
    <Commentary xmlns="1ec29b2c-27b0-4693-80ab-04ff024365c9" xsi:nil="true"/>
    <Financial_x0020_Year xmlns="1ec29b2c-27b0-4693-80ab-04ff024365c9">2026-2027</Financial_x0020_Year>
    <Original_x0020_Upload_x0020_date xmlns="1ec29b2c-27b0-4693-80ab-04ff024365c9">2026-04-20T11:45:42+00:00</Original_x0020_Upload_x0020_date>
    <SystemCategory xmlns="1ec29b2c-27b0-4693-80ab-04ff024365c9">Unassigned</SystemCategory>
    <SortBy xmlns="1ec29b2c-27b0-4693-80ab-04ff024365c9" xsi:nil="true"/>
    <Body xmlns="1ec29b2c-27b0-4693-80ab-04ff024365c9" xsi:nil="true"/>
    <Year xmlns="1ec29b2c-27b0-4693-80ab-04ff024365c9" xsi:nil="true"/>
    <Originaly_x0020_Created_x0020_By xmlns="1ec29b2c-27b0-4693-80ab-04ff024365c9" xsi:nil="true"/>
    <Active xmlns="1ec29b2c-27b0-4693-80ab-04ff024365c9">true</Active>
  </documentManagement>
</p:properties>
</file>

<file path=customXml/itemProps1.xml><?xml version="1.0" encoding="utf-8"?>
<ds:datastoreItem xmlns:ds="http://schemas.openxmlformats.org/officeDocument/2006/customXml" ds:itemID="{D4E0669C-4074-49D2-A5AD-3607C43A0E1F}"/>
</file>

<file path=customXml/itemProps2.xml><?xml version="1.0" encoding="utf-8"?>
<ds:datastoreItem xmlns:ds="http://schemas.openxmlformats.org/officeDocument/2006/customXml" ds:itemID="{AED1A117-DA96-40BF-8DFE-999AF49953EA}"/>
</file>

<file path=customXml/itemProps3.xml><?xml version="1.0" encoding="utf-8"?>
<ds:datastoreItem xmlns:ds="http://schemas.openxmlformats.org/officeDocument/2006/customXml" ds:itemID="{70ADA3F5-5389-458A-B035-4926B2F3A6A6}"/>
</file>

<file path=customXml/itemProps4.xml><?xml version="1.0" encoding="utf-8"?>
<ds:datastoreItem xmlns:ds="http://schemas.openxmlformats.org/officeDocument/2006/customXml" ds:itemID="{E965A9E1-234D-4E1C-BAC0-2E7E70981C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Calculator</vt:lpstr>
      <vt:lpstr>Sheet2</vt:lpstr>
      <vt:lpstr>Sheet3</vt:lpstr>
      <vt:lpstr>Calculator!Print_Area</vt:lpstr>
    </vt:vector>
  </TitlesOfParts>
  <Company>Drakenstein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Engelmohr</dc:creator>
  <cp:lastModifiedBy>Ian Engelmohr CA(SA)</cp:lastModifiedBy>
  <cp:lastPrinted>2026-04-14T12:57:35Z</cp:lastPrinted>
  <dcterms:created xsi:type="dcterms:W3CDTF">2025-03-13T11:32:20Z</dcterms:created>
  <dcterms:modified xsi:type="dcterms:W3CDTF">2026-04-14T13:22:35Z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0x0101002E0FFF9A64AF054D83EDE773F9FF9F60</vt:lpwstr>
  </property>
</Properties>
</file>